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0" documentId="8_{1DFAE140-3ABA-4382-A238-D79D6247447D}" xr6:coauthVersionLast="47" xr6:coauthVersionMax="47" xr10:uidLastSave="{F14DF999-CB2B-4C22-B7BF-D0A388AE9513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10 (2)_...6e684f08_1FLCNJG" sheetId="24" state="hidden" r:id="rId18"/>
    <sheet name="OSR_308_UAWDAG" sheetId="26" state="hidden" r:id="rId19"/>
    <sheet name="OSR_330 (2)_...8a14c83e_1NSH7XI" sheetId="27" state="hidden" r:id="rId20"/>
    <sheet name="OSR_331_10VKQAJ" sheetId="29" state="hidden" r:id="rId21"/>
    <sheet name="OSR_308 (2)_...47685838_1YQW4QY" sheetId="30" state="hidden" r:id="rId22"/>
    <sheet name="OSR_332_6NDVBW" sheetId="32" state="hidden" r:id="rId23"/>
    <sheet name="OSR_331 (2)_...7280af70_1P5SPLT" sheetId="33" state="hidden" r:id="rId24"/>
    <sheet name="OSR_333_69UF5U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21" sheetId="71" r:id="rId66"/>
    <sheet name="325" sheetId="73" r:id="rId67"/>
    <sheet name="327" sheetId="75" r:id="rId68"/>
    <sheet name="Div 4" sheetId="36" r:id="rId69"/>
    <sheet name="310 &amp; 491" sheetId="39" r:id="rId70"/>
    <sheet name="491" sheetId="42" r:id="rId71"/>
    <sheet name="405" sheetId="76" r:id="rId72"/>
    <sheet name="406" sheetId="77" r:id="rId73"/>
    <sheet name="411" sheetId="78" r:id="rId74"/>
    <sheet name="412" sheetId="79" r:id="rId75"/>
    <sheet name="413" sheetId="80" r:id="rId76"/>
    <sheet name="414" sheetId="81" r:id="rId77"/>
    <sheet name="415" sheetId="82" r:id="rId78"/>
    <sheet name="418" sheetId="83" r:id="rId79"/>
    <sheet name="423" sheetId="84" r:id="rId80"/>
    <sheet name="424" sheetId="85" r:id="rId81"/>
    <sheet name="425" sheetId="86" r:id="rId82"/>
    <sheet name="492" sheetId="45" r:id="rId83"/>
    <sheet name="430" sheetId="87" r:id="rId84"/>
    <sheet name="433" sheetId="88" r:id="rId85"/>
    <sheet name="435" sheetId="89" r:id="rId86"/>
    <sheet name="444" sheetId="90" r:id="rId87"/>
    <sheet name="450" sheetId="91" r:id="rId88"/>
    <sheet name="Div 5" sheetId="48" r:id="rId89"/>
    <sheet name="501" sheetId="92" r:id="rId90"/>
    <sheet name="Dept" sheetId="93" state="hidden" r:id="rId91"/>
    <sheet name="OSR_Dept_Y0WUKY" sheetId="94" state="hidden" r:id="rId92"/>
    <sheet name="OSR_Summary (...56e5d78f_5JEYZH" sheetId="95" state="hidden" r:id="rId93"/>
  </sheets>
  <definedNames>
    <definedName name="OSRRefD13x_0" localSheetId="48">'300'!$D$13:$D$19</definedName>
    <definedName name="OSRRefD13x_0" localSheetId="49">'300 &amp; 317'!$D$13:$D$19</definedName>
    <definedName name="OSRRefD13x_0" localSheetId="55">'307'!$D$13:$D$16</definedName>
    <definedName name="OSRRefD13x_0" localSheetId="51">'308'!$D$13:$D$17</definedName>
    <definedName name="OSRRefD13x_0" localSheetId="64">'309'!$D$13:$D$16</definedName>
    <definedName name="OSRRefD13x_0" localSheetId="63">'310'!$D$13:$D$18</definedName>
    <definedName name="OSRRefD13x_0" localSheetId="69">'310 &amp; 491'!$D$13:$D$18</definedName>
    <definedName name="OSRRefD13x_0" localSheetId="52">'311'!$D$13:$D$17</definedName>
    <definedName name="OSRRefD13x_0" localSheetId="57">'315'!$D$13:$D$17</definedName>
    <definedName name="OSRRefD13x_0" localSheetId="60">'316'!$D$13:$D$17</definedName>
    <definedName name="OSRRefD13x_0" localSheetId="62">'317'!$D$13:$D$17</definedName>
    <definedName name="OSRRefD13x_0" localSheetId="65">'321'!$D$13:$D$14</definedName>
    <definedName name="OSRRefD13x_0" localSheetId="53">'324'!$D$13:$D$14</definedName>
    <definedName name="OSRRefD13x_0" localSheetId="66">'325'!$D$13:$D$14</definedName>
    <definedName name="OSRRefD13x_0" localSheetId="58">'326'!$D$13:$D$16</definedName>
    <definedName name="OSRRefD13x_0" localSheetId="67">'327'!$D$13:$D$15</definedName>
    <definedName name="OSRRefD13x_0" localSheetId="56">'331'!$D$13:$D$17</definedName>
    <definedName name="OSRRefD13x_0" localSheetId="59">'332'!$D$13:$D$17</definedName>
    <definedName name="OSRRefD13x_0" localSheetId="54">'333'!$D$13:$D$17</definedName>
    <definedName name="OSRRefD13x_0" localSheetId="71">'405'!$D$13:$D$16</definedName>
    <definedName name="OSRRefD13x_0" localSheetId="77">'415'!$D$13:$D$16</definedName>
    <definedName name="OSRRefD13x_0" localSheetId="78">'418'!$D$13:$D$14</definedName>
    <definedName name="OSRRefD13x_0" localSheetId="81">'425'!$D$13</definedName>
    <definedName name="OSRRefD13x_0" localSheetId="84">'433'!$D$13:$D$16</definedName>
    <definedName name="OSRRefD13x_0" localSheetId="86">'444'!$D$13:$D$16</definedName>
    <definedName name="OSRRefD13x_0" localSheetId="87">'450'!$D$13:$D$16</definedName>
    <definedName name="OSRRefD13x_0" localSheetId="70">'491'!$D$13:$D$17</definedName>
    <definedName name="OSRRefD13x_0" localSheetId="82">'492'!$D$13:$D$16</definedName>
    <definedName name="OSRRefD13x_0" localSheetId="89">'501'!$D$13</definedName>
    <definedName name="OSRRefD13x_0" localSheetId="47">'Div 3'!$D$13:$D$23</definedName>
    <definedName name="OSRRefD13x_0" localSheetId="68">'Div 4'!$D$13:$D$18</definedName>
    <definedName name="OSRRefD13x_0" localSheetId="88">'Div 5'!$D$13</definedName>
    <definedName name="OSRRefD13x_0" localSheetId="61">'Div 6'!$D$13:$D$17</definedName>
    <definedName name="OSRRefD13x_0" localSheetId="2">Summary!$D$13:$D$23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5">'307'!$D$19:$D$28</definedName>
    <definedName name="OSRRefD16x_0" localSheetId="51">'308'!$D$20:$D$29</definedName>
    <definedName name="OSRRefD16x_0" localSheetId="64">'309'!$D$19:$D$20</definedName>
    <definedName name="OSRRefD16x_0" localSheetId="63">'310'!$D$21:$D$23</definedName>
    <definedName name="OSRRefD16x_0" localSheetId="69">'310 &amp; 491'!$D$21:$D$23</definedName>
    <definedName name="OSRRefD16x_0" localSheetId="52">'311'!$D$20:$D$29</definedName>
    <definedName name="OSRRefD16x_0" localSheetId="57">'315'!$D$20:$D$38</definedName>
    <definedName name="OSRRefD16x_0" localSheetId="60">'316'!$D$20:$D$21</definedName>
    <definedName name="OSRRefD16x_0" localSheetId="62">'317'!$D$20:$D$29</definedName>
    <definedName name="OSRRefD16x_0" localSheetId="65">'321'!$D$17:$D$18</definedName>
    <definedName name="OSRRefD16x_0" localSheetId="53">'324'!$D$17</definedName>
    <definedName name="OSRRefD16x_0" localSheetId="66">'325'!$D$17:$D$19</definedName>
    <definedName name="OSRRefD16x_0" localSheetId="58">'326'!$D$19:$D$22</definedName>
    <definedName name="OSRRefD16x_0" localSheetId="67">'327'!$D$18:$D$20</definedName>
    <definedName name="OSRRefD16x_0" localSheetId="56">'331'!$D$20:$D$38</definedName>
    <definedName name="OSRRefD16x_0" localSheetId="59">'332'!$D$20:$D$21</definedName>
    <definedName name="OSRRefD16x_0" localSheetId="54">'333'!$D$20:$D$40</definedName>
    <definedName name="OSRRefD16x_0" localSheetId="71">'405'!$D$19:$D$21</definedName>
    <definedName name="OSRRefD16x_0" localSheetId="77">'415'!$D$19:$D$21</definedName>
    <definedName name="OSRRefD16x_0" localSheetId="78">'418'!$D$17:$D$18</definedName>
    <definedName name="OSRRefD16x_0" localSheetId="81">'425'!$D$16</definedName>
    <definedName name="OSRRefD16x_0" localSheetId="84">'433'!$D$19:$D$21</definedName>
    <definedName name="OSRRefD16x_0" localSheetId="86">'444'!$D$19:$D$21</definedName>
    <definedName name="OSRRefD16x_0" localSheetId="87">'450'!$D$19:$D$21</definedName>
    <definedName name="OSRRefD16x_0" localSheetId="70">'491'!$D$20:$D$22</definedName>
    <definedName name="OSRRefD16x_0" localSheetId="82">'492'!$D$19:$D$21</definedName>
    <definedName name="OSRRefD16x_0" localSheetId="47">'Div 3'!$D$26:$D$54</definedName>
    <definedName name="OSRRefD16x_0" localSheetId="68">'Div 4'!$D$21:$D$23</definedName>
    <definedName name="OSRRefD16x_0" localSheetId="61">'Div 6'!$D$20:$D$29</definedName>
    <definedName name="OSRRefD16x_0" localSheetId="2">Summary!$D$26:$D$60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5">'307'!$D$34:$D$41</definedName>
    <definedName name="OSRRefD22_0x_0" localSheetId="51">'308'!$D$35:$D$44</definedName>
    <definedName name="OSRRefD22_0x_0" localSheetId="64">'309'!$D$26:$D$27</definedName>
    <definedName name="OSRRefD22_0x_0" localSheetId="63">'310'!$D$29:$D$38</definedName>
    <definedName name="OSRRefD22_0x_0" localSheetId="69">'310 &amp; 491'!$D$29:$D$38</definedName>
    <definedName name="OSRRefD22_0x_0" localSheetId="52">'311'!$D$35:$D$44</definedName>
    <definedName name="OSRRefD22_0x_0" localSheetId="57">'315'!$D$44:$D$52</definedName>
    <definedName name="OSRRefD22_0x_0" localSheetId="60">'316'!$D$27:$D$35</definedName>
    <definedName name="OSRRefD22_0x_0" localSheetId="62">'317'!$D$35:$D$44</definedName>
    <definedName name="OSRRefD22_0x_0" localSheetId="65">'321'!$D$24:$D$33</definedName>
    <definedName name="OSRRefD22_0x_0" localSheetId="66">'325'!$D$25:$D$33</definedName>
    <definedName name="OSRRefD22_0x_0" localSheetId="58">'326'!$D$28:$D$36</definedName>
    <definedName name="OSRRefD22_0x_0" localSheetId="67">'327'!$D$26</definedName>
    <definedName name="OSRRefD22_0x_0" localSheetId="56">'331'!$D$44:$D$52</definedName>
    <definedName name="OSRRefD22_0x_0" localSheetId="59">'332'!$D$27:$D$35</definedName>
    <definedName name="OSRRefD22_0x_0" localSheetId="54">'333'!$D$46:$D$54</definedName>
    <definedName name="OSRRefD22_0x_0" localSheetId="71">'405'!$D$27:$D$35</definedName>
    <definedName name="OSRRefD22_0x_0" localSheetId="72">'406'!$D$20</definedName>
    <definedName name="OSRRefD22_0x_0" localSheetId="73">'411'!$D$20:$D$28</definedName>
    <definedName name="OSRRefD22_0x_0" localSheetId="74">'412'!$D$20</definedName>
    <definedName name="OSRRefD22_0x_0" localSheetId="75">'413'!$D$20</definedName>
    <definedName name="OSRRefD22_0x_0" localSheetId="76">'414'!$D$20</definedName>
    <definedName name="OSRRefD22_0x_0" localSheetId="77">'415'!$D$27:$D$35</definedName>
    <definedName name="OSRRefD22_0x_0" localSheetId="78">'418'!$D$24:$D$32</definedName>
    <definedName name="OSRRefD22_0x_0" localSheetId="79">'423'!$D$20:$D$27</definedName>
    <definedName name="OSRRefD22_0x_0" localSheetId="80">'424'!$D$20</definedName>
    <definedName name="OSRRefD22_0x_0" localSheetId="81">'425'!$D$22</definedName>
    <definedName name="OSRRefD22_0x_0" localSheetId="83">'430'!$D$20:$D$28</definedName>
    <definedName name="OSRRefD22_0x_0" localSheetId="84">'433'!$D$27:$D$36</definedName>
    <definedName name="OSRRefD22_0x_0" localSheetId="85">'435'!$D$20</definedName>
    <definedName name="OSRRefD22_0x_0" localSheetId="86">'444'!$D$27:$D$36</definedName>
    <definedName name="OSRRefD22_0x_0" localSheetId="87">'450'!$D$27:$D$36</definedName>
    <definedName name="OSRRefD22_0x_0" localSheetId="70">'491'!$D$28:$D$36</definedName>
    <definedName name="OSRRefD22_0x_0" localSheetId="82">'492'!$D$27:$D$36</definedName>
    <definedName name="OSRRefD22_0x_0" localSheetId="89">'501'!$D$21:$D$30</definedName>
    <definedName name="OSRRefD22_0x_0" localSheetId="39">'Div 2'!$D$20:$D$30</definedName>
    <definedName name="OSRRefD22_0x_0" localSheetId="47">'Div 3'!$D$60:$D$69</definedName>
    <definedName name="OSRRefD22_0x_0" localSheetId="68">'Div 4'!$D$29:$D$38</definedName>
    <definedName name="OSRRefD22_0x_0" localSheetId="88">'Div 5'!$D$21:$D$30</definedName>
    <definedName name="OSRRefD22_0x_0" localSheetId="61">'Div 6'!$D$35:$D$44</definedName>
    <definedName name="OSRRefD22_0x_0" localSheetId="2">Summary!$D$66:$D$75</definedName>
    <definedName name="OSRRefD22_10x_0" localSheetId="41">'201'!$D$59:$D$60</definedName>
    <definedName name="OSRRefD22_10x_0" localSheetId="42">'202'!$D$59</definedName>
    <definedName name="OSRRefD22_10x_0" localSheetId="43">'203'!$D$61:$D$62</definedName>
    <definedName name="OSRRefD22_10x_0" localSheetId="44">'204'!$D$63</definedName>
    <definedName name="OSRRefD22_10x_0" localSheetId="48">'300'!$D$94:$D$95</definedName>
    <definedName name="OSRRefD22_10x_0" localSheetId="49">'300 &amp; 317'!$D$100:$D$101</definedName>
    <definedName name="OSRRefD22_10x_0" localSheetId="50">'301'!$D$61</definedName>
    <definedName name="OSRRefD22_10x_0" localSheetId="55">'307'!$D$72:$D$73</definedName>
    <definedName name="OSRRefD22_10x_0" localSheetId="51">'308'!$D$76:$D$77</definedName>
    <definedName name="OSRRefD22_10x_0" localSheetId="64">'309'!$D$50:$D$51</definedName>
    <definedName name="OSRRefD22_10x_0" localSheetId="63">'310'!$D$68</definedName>
    <definedName name="OSRRefD22_10x_0" localSheetId="69">'310 &amp; 491'!$D$69</definedName>
    <definedName name="OSRRefD22_10x_0" localSheetId="52">'311'!$D$76:$D$77</definedName>
    <definedName name="OSRRefD22_10x_0" localSheetId="57">'315'!$D$82</definedName>
    <definedName name="OSRRefD22_10x_0" localSheetId="60">'316'!$D$70</definedName>
    <definedName name="OSRRefD22_10x_0" localSheetId="65">'321'!$D$64:$D$67</definedName>
    <definedName name="OSRRefD22_10x_0" localSheetId="66">'325'!$D$63</definedName>
    <definedName name="OSRRefD22_10x_0" localSheetId="58">'326'!$D$66</definedName>
    <definedName name="OSRRefD22_10x_0" localSheetId="56">'331'!$D$83</definedName>
    <definedName name="OSRRefD22_10x_0" localSheetId="59">'332'!$D$70</definedName>
    <definedName name="OSRRefD22_10x_0" localSheetId="54">'333'!$D$86</definedName>
    <definedName name="OSRRefD22_10x_0" localSheetId="71">'405'!$D$66:$D$69</definedName>
    <definedName name="OSRRefD22_10x_0" localSheetId="73">'411'!$D$63:$D$64</definedName>
    <definedName name="OSRRefD22_10x_0" localSheetId="77">'415'!$D$65</definedName>
    <definedName name="OSRRefD22_10x_0" localSheetId="78">'418'!$D$67</definedName>
    <definedName name="OSRRefD22_10x_0" localSheetId="84">'433'!$D$65</definedName>
    <definedName name="OSRRefD22_10x_0" localSheetId="86">'444'!$D$65</definedName>
    <definedName name="OSRRefD22_10x_0" localSheetId="87">'450'!$D$65</definedName>
    <definedName name="OSRRefD22_10x_0" localSheetId="70">'491'!$D$67</definedName>
    <definedName name="OSRRefD22_10x_0" localSheetId="82">'492'!$D$65</definedName>
    <definedName name="OSRRefD22_10x_0" localSheetId="89">'501'!$D$62</definedName>
    <definedName name="OSRRefD22_10x_0" localSheetId="39">'Div 2'!$D$60</definedName>
    <definedName name="OSRRefD22_10x_0" localSheetId="47">'Div 3'!$D$100:$D$101</definedName>
    <definedName name="OSRRefD22_10x_0" localSheetId="68">'Div 4'!$D$69</definedName>
    <definedName name="OSRRefD22_10x_0" localSheetId="88">'Div 5'!$D$62</definedName>
    <definedName name="OSRRefD22_10x_0" localSheetId="2">Summary!$D$106:$D$107</definedName>
    <definedName name="OSRRefD22_11x_0" localSheetId="41">'201'!$D$62</definedName>
    <definedName name="OSRRefD22_11x_0" localSheetId="42">'202'!$D$61</definedName>
    <definedName name="OSRRefD22_11x_0" localSheetId="43">'203'!$D$64:$D$67</definedName>
    <definedName name="OSRRefD22_11x_0" localSheetId="48">'300'!$D$97:$D$98</definedName>
    <definedName name="OSRRefD22_11x_0" localSheetId="49">'300 &amp; 317'!$D$103:$D$104</definedName>
    <definedName name="OSRRefD22_11x_0" localSheetId="50">'301'!$D$63</definedName>
    <definedName name="OSRRefD22_11x_0" localSheetId="55">'307'!$D$75</definedName>
    <definedName name="OSRRefD22_11x_0" localSheetId="51">'308'!$D$79:$D$80</definedName>
    <definedName name="OSRRefD22_11x_0" localSheetId="64">'309'!$D$53</definedName>
    <definedName name="OSRRefD22_11x_0" localSheetId="63">'310'!$D$70:$D$72</definedName>
    <definedName name="OSRRefD22_11x_0" localSheetId="69">'310 &amp; 491'!$D$71</definedName>
    <definedName name="OSRRefD22_11x_0" localSheetId="52">'311'!$D$79:$D$80</definedName>
    <definedName name="OSRRefD22_11x_0" localSheetId="57">'315'!$D$84</definedName>
    <definedName name="OSRRefD22_11x_0" localSheetId="65">'321'!$D$69</definedName>
    <definedName name="OSRRefD22_11x_0" localSheetId="66">'325'!$D$65:$D$67</definedName>
    <definedName name="OSRRefD22_11x_0" localSheetId="58">'326'!$D$68:$D$69</definedName>
    <definedName name="OSRRefD22_11x_0" localSheetId="56">'331'!$D$85</definedName>
    <definedName name="OSRRefD22_11x_0" localSheetId="54">'333'!$D$88</definedName>
    <definedName name="OSRRefD22_11x_0" localSheetId="71">'405'!$D$71</definedName>
    <definedName name="OSRRefD22_11x_0" localSheetId="73">'411'!$D$66</definedName>
    <definedName name="OSRRefD22_11x_0" localSheetId="77">'415'!$D$67:$D$68</definedName>
    <definedName name="OSRRefD22_11x_0" localSheetId="78">'418'!$D$69:$D$76</definedName>
    <definedName name="OSRRefD22_11x_0" localSheetId="84">'433'!$D$67:$D$69</definedName>
    <definedName name="OSRRefD22_11x_0" localSheetId="86">'444'!$D$67:$D$68</definedName>
    <definedName name="OSRRefD22_11x_0" localSheetId="87">'450'!$D$67:$D$69</definedName>
    <definedName name="OSRRefD22_11x_0" localSheetId="70">'491'!$D$69</definedName>
    <definedName name="OSRRefD22_11x_0" localSheetId="82">'492'!$D$67</definedName>
    <definedName name="OSRRefD22_11x_0" localSheetId="89">'501'!$D$64:$D$66</definedName>
    <definedName name="OSRRefD22_11x_0" localSheetId="39">'Div 2'!$D$62</definedName>
    <definedName name="OSRRefD22_11x_0" localSheetId="47">'Div 3'!$D$103:$D$104</definedName>
    <definedName name="OSRRefD22_11x_0" localSheetId="68">'Div 4'!$D$71</definedName>
    <definedName name="OSRRefD22_11x_0" localSheetId="88">'Div 5'!$D$64:$D$66</definedName>
    <definedName name="OSRRefD22_11x_0" localSheetId="2">Summary!$D$109:$D$111</definedName>
    <definedName name="OSRRefD22_12x_0" localSheetId="41">'201'!$D$64:$D$65</definedName>
    <definedName name="OSRRefD22_12x_0" localSheetId="42">'202'!$D$63</definedName>
    <definedName name="OSRRefD22_12x_0" localSheetId="43">'203'!$D$69</definedName>
    <definedName name="OSRRefD22_12x_0" localSheetId="48">'300'!$D$100</definedName>
    <definedName name="OSRRefD22_12x_0" localSheetId="49">'300 &amp; 317'!$D$106</definedName>
    <definedName name="OSRRefD22_12x_0" localSheetId="50">'301'!$D$65</definedName>
    <definedName name="OSRRefD22_12x_0" localSheetId="55">'307'!$D$77:$D$80</definedName>
    <definedName name="OSRRefD22_12x_0" localSheetId="51">'308'!$D$82:$D$83</definedName>
    <definedName name="OSRRefD22_12x_0" localSheetId="64">'309'!$D$55</definedName>
    <definedName name="OSRRefD22_12x_0" localSheetId="63">'310'!$D$74</definedName>
    <definedName name="OSRRefD22_12x_0" localSheetId="69">'310 &amp; 491'!$D$73:$D$76</definedName>
    <definedName name="OSRRefD22_12x_0" localSheetId="52">'311'!$D$82:$D$83</definedName>
    <definedName name="OSRRefD22_12x_0" localSheetId="57">'315'!$D$86:$D$87</definedName>
    <definedName name="OSRRefD22_12x_0" localSheetId="65">'321'!$D$71</definedName>
    <definedName name="OSRRefD22_12x_0" localSheetId="66">'325'!$D$69:$D$71</definedName>
    <definedName name="OSRRefD22_12x_0" localSheetId="58">'326'!$D$71:$D$72</definedName>
    <definedName name="OSRRefD22_12x_0" localSheetId="56">'331'!$D$87</definedName>
    <definedName name="OSRRefD22_12x_0" localSheetId="54">'333'!$D$90</definedName>
    <definedName name="OSRRefD22_12x_0" localSheetId="71">'405'!$D$73:$D$80</definedName>
    <definedName name="OSRRefD22_12x_0" localSheetId="73">'411'!$D$68</definedName>
    <definedName name="OSRRefD22_12x_0" localSheetId="77">'415'!$D$70:$D$73</definedName>
    <definedName name="OSRRefD22_12x_0" localSheetId="78">'418'!$D$78:$D$79</definedName>
    <definedName name="OSRRefD22_12x_0" localSheetId="84">'433'!$D$71:$D$74</definedName>
    <definedName name="OSRRefD22_12x_0" localSheetId="86">'444'!$D$70:$D$73</definedName>
    <definedName name="OSRRefD22_12x_0" localSheetId="87">'450'!$D$71:$D$74</definedName>
    <definedName name="OSRRefD22_12x_0" localSheetId="70">'491'!$D$71:$D$74</definedName>
    <definedName name="OSRRefD22_12x_0" localSheetId="82">'492'!$D$69:$D$71</definedName>
    <definedName name="OSRRefD22_12x_0" localSheetId="89">'501'!$D$68</definedName>
    <definedName name="OSRRefD22_12x_0" localSheetId="39">'Div 2'!$D$64:$D$67</definedName>
    <definedName name="OSRRefD22_12x_0" localSheetId="47">'Div 3'!$D$106</definedName>
    <definedName name="OSRRefD22_12x_0" localSheetId="68">'Div 4'!$D$73</definedName>
    <definedName name="OSRRefD22_12x_0" localSheetId="88">'Div 5'!$D$68</definedName>
    <definedName name="OSRRefD22_12x_0" localSheetId="2">Summary!$D$113</definedName>
    <definedName name="OSRRefD22_13x_0" localSheetId="41">'201'!$D$67</definedName>
    <definedName name="OSRRefD22_13x_0" localSheetId="43">'203'!$D$71</definedName>
    <definedName name="OSRRefD22_13x_0" localSheetId="48">'300'!$D$102</definedName>
    <definedName name="OSRRefD22_13x_0" localSheetId="49">'300 &amp; 317'!$D$108</definedName>
    <definedName name="OSRRefD22_13x_0" localSheetId="50">'301'!$D$67</definedName>
    <definedName name="OSRRefD22_13x_0" localSheetId="55">'307'!$D$82</definedName>
    <definedName name="OSRRefD22_13x_0" localSheetId="51">'308'!$D$85</definedName>
    <definedName name="OSRRefD22_13x_0" localSheetId="63">'310'!$D$76:$D$78</definedName>
    <definedName name="OSRRefD22_13x_0" localSheetId="69">'310 &amp; 491'!$D$78:$D$79</definedName>
    <definedName name="OSRRefD22_13x_0" localSheetId="52">'311'!$D$85</definedName>
    <definedName name="OSRRefD22_13x_0" localSheetId="57">'315'!$D$89:$D$91</definedName>
    <definedName name="OSRRefD22_13x_0" localSheetId="66">'325'!$D$73:$D$77</definedName>
    <definedName name="OSRRefD22_13x_0" localSheetId="58">'326'!$D$74:$D$75</definedName>
    <definedName name="OSRRefD22_13x_0" localSheetId="56">'331'!$D$89</definedName>
    <definedName name="OSRRefD22_13x_0" localSheetId="54">'333'!$D$92</definedName>
    <definedName name="OSRRefD22_13x_0" localSheetId="71">'405'!$D$82</definedName>
    <definedName name="OSRRefD22_13x_0" localSheetId="73">'411'!$D$70:$D$71</definedName>
    <definedName name="OSRRefD22_13x_0" localSheetId="77">'415'!$D$75</definedName>
    <definedName name="OSRRefD22_13x_0" localSheetId="78">'418'!$D$81</definedName>
    <definedName name="OSRRefD22_13x_0" localSheetId="84">'433'!$D$76:$D$83</definedName>
    <definedName name="OSRRefD22_13x_0" localSheetId="86">'444'!$D$75</definedName>
    <definedName name="OSRRefD22_13x_0" localSheetId="87">'450'!$D$76:$D$82</definedName>
    <definedName name="OSRRefD22_13x_0" localSheetId="70">'491'!$D$76</definedName>
    <definedName name="OSRRefD22_13x_0" localSheetId="82">'492'!$D$73:$D$76</definedName>
    <definedName name="OSRRefD22_13x_0" localSheetId="89">'501'!$D$70</definedName>
    <definedName name="OSRRefD22_13x_0" localSheetId="39">'Div 2'!$D$69:$D$72</definedName>
    <definedName name="OSRRefD22_13x_0" localSheetId="47">'Div 3'!$D$108</definedName>
    <definedName name="OSRRefD22_13x_0" localSheetId="68">'Div 4'!$D$75</definedName>
    <definedName name="OSRRefD22_13x_0" localSheetId="88">'Div 5'!$D$70</definedName>
    <definedName name="OSRRefD22_13x_0" localSheetId="2">Summary!$D$115</definedName>
    <definedName name="OSRRefD22_14x_0" localSheetId="41">'201'!$D$69</definedName>
    <definedName name="OSRRefD22_14x_0" localSheetId="43">'203'!$D$73</definedName>
    <definedName name="OSRRefD22_14x_0" localSheetId="48">'300'!$D$104</definedName>
    <definedName name="OSRRefD22_14x_0" localSheetId="49">'300 &amp; 317'!$D$110</definedName>
    <definedName name="OSRRefD22_14x_0" localSheetId="50">'301'!$D$69</definedName>
    <definedName name="OSRRefD22_14x_0" localSheetId="63">'310'!$D$80:$D$84</definedName>
    <definedName name="OSRRefD22_14x_0" localSheetId="69">'310 &amp; 491'!$D$81:$D$85</definedName>
    <definedName name="OSRRefD22_14x_0" localSheetId="57">'315'!$D$93:$D$94</definedName>
    <definedName name="OSRRefD22_14x_0" localSheetId="66">'325'!$D$79:$D$80</definedName>
    <definedName name="OSRRefD22_14x_0" localSheetId="58">'326'!$D$77:$D$79</definedName>
    <definedName name="OSRRefD22_14x_0" localSheetId="56">'331'!$D$91:$D$92</definedName>
    <definedName name="OSRRefD22_14x_0" localSheetId="54">'333'!$D$94:$D$95</definedName>
    <definedName name="OSRRefD22_14x_0" localSheetId="71">'405'!$D$84</definedName>
    <definedName name="OSRRefD22_14x_0" localSheetId="73">'411'!$D$73</definedName>
    <definedName name="OSRRefD22_14x_0" localSheetId="77">'415'!$D$77:$D$83</definedName>
    <definedName name="OSRRefD22_14x_0" localSheetId="78">'418'!$D$83</definedName>
    <definedName name="OSRRefD22_14x_0" localSheetId="84">'433'!$D$85</definedName>
    <definedName name="OSRRefD22_14x_0" localSheetId="86">'444'!$D$77:$D$85</definedName>
    <definedName name="OSRRefD22_14x_0" localSheetId="87">'450'!$D$84</definedName>
    <definedName name="OSRRefD22_14x_0" localSheetId="70">'491'!$D$78:$D$82</definedName>
    <definedName name="OSRRefD22_14x_0" localSheetId="82">'492'!$D$78</definedName>
    <definedName name="OSRRefD22_14x_0" localSheetId="39">'Div 2'!$D$74:$D$75</definedName>
    <definedName name="OSRRefD22_14x_0" localSheetId="47">'Div 3'!$D$110</definedName>
    <definedName name="OSRRefD22_14x_0" localSheetId="68">'Div 4'!$D$77:$D$80</definedName>
    <definedName name="OSRRefD22_14x_0" localSheetId="2">Summary!$D$117</definedName>
    <definedName name="OSRRefD22_15x_0" localSheetId="41">'201'!$D$71</definedName>
    <definedName name="OSRRefD22_15x_0" localSheetId="48">'300'!$D$106</definedName>
    <definedName name="OSRRefD22_15x_0" localSheetId="49">'300 &amp; 317'!$D$112</definedName>
    <definedName name="OSRRefD22_15x_0" localSheetId="50">'301'!$D$71:$D$74</definedName>
    <definedName name="OSRRefD22_15x_0" localSheetId="63">'310'!$D$86:$D$87</definedName>
    <definedName name="OSRRefD22_15x_0" localSheetId="69">'310 &amp; 491'!$D$87</definedName>
    <definedName name="OSRRefD22_15x_0" localSheetId="57">'315'!$D$96:$D$99</definedName>
    <definedName name="OSRRefD22_15x_0" localSheetId="66">'325'!$D$82</definedName>
    <definedName name="OSRRefD22_15x_0" localSheetId="58">'326'!$D$81</definedName>
    <definedName name="OSRRefD22_15x_0" localSheetId="56">'331'!$D$94:$D$96</definedName>
    <definedName name="OSRRefD22_15x_0" localSheetId="54">'333'!$D$97:$D$99</definedName>
    <definedName name="OSRRefD22_15x_0" localSheetId="71">'405'!$D$86</definedName>
    <definedName name="OSRRefD22_15x_0" localSheetId="77">'415'!$D$85:$D$86</definedName>
    <definedName name="OSRRefD22_15x_0" localSheetId="84">'433'!$D$87</definedName>
    <definedName name="OSRRefD22_15x_0" localSheetId="86">'444'!$D$87</definedName>
    <definedName name="OSRRefD22_15x_0" localSheetId="87">'450'!$D$86</definedName>
    <definedName name="OSRRefD22_15x_0" localSheetId="70">'491'!$D$84</definedName>
    <definedName name="OSRRefD22_15x_0" localSheetId="82">'492'!$D$80:$D$88</definedName>
    <definedName name="OSRRefD22_15x_0" localSheetId="39">'Div 2'!$D$77:$D$78</definedName>
    <definedName name="OSRRefD22_15x_0" localSheetId="47">'Div 3'!$D$112</definedName>
    <definedName name="OSRRefD22_15x_0" localSheetId="68">'Div 4'!$D$82</definedName>
    <definedName name="OSRRefD22_15x_0" localSheetId="2">Summary!$D$119</definedName>
    <definedName name="OSRRefD22_16x_0" localSheetId="48">'300'!$D$108:$D$111</definedName>
    <definedName name="OSRRefD22_16x_0" localSheetId="49">'300 &amp; 317'!$D$114:$D$117</definedName>
    <definedName name="OSRRefD22_16x_0" localSheetId="50">'301'!$D$76:$D$77</definedName>
    <definedName name="OSRRefD22_16x_0" localSheetId="63">'310'!$D$89</definedName>
    <definedName name="OSRRefD22_16x_0" localSheetId="69">'310 &amp; 491'!$D$89:$D$98</definedName>
    <definedName name="OSRRefD22_16x_0" localSheetId="57">'315'!$D$101</definedName>
    <definedName name="OSRRefD22_16x_0" localSheetId="66">'325'!$D$84</definedName>
    <definedName name="OSRRefD22_16x_0" localSheetId="58">'326'!$D$83:$D$84</definedName>
    <definedName name="OSRRefD22_16x_0" localSheetId="56">'331'!$D$98:$D$99</definedName>
    <definedName name="OSRRefD22_16x_0" localSheetId="54">'333'!$D$101:$D$103</definedName>
    <definedName name="OSRRefD22_16x_0" localSheetId="71">'405'!$D$88</definedName>
    <definedName name="OSRRefD22_16x_0" localSheetId="77">'415'!$D$88</definedName>
    <definedName name="OSRRefD22_16x_0" localSheetId="86">'444'!$D$89</definedName>
    <definedName name="OSRRefD22_16x_0" localSheetId="87">'450'!$D$88</definedName>
    <definedName name="OSRRefD22_16x_0" localSheetId="70">'491'!$D$86:$D$95</definedName>
    <definedName name="OSRRefD22_16x_0" localSheetId="82">'492'!$D$90:$D$91</definedName>
    <definedName name="OSRRefD22_16x_0" localSheetId="39">'Div 2'!$D$80:$D$85</definedName>
    <definedName name="OSRRefD22_16x_0" localSheetId="47">'Div 3'!$D$114</definedName>
    <definedName name="OSRRefD22_16x_0" localSheetId="68">'Div 4'!$D$84:$D$88</definedName>
    <definedName name="OSRRefD22_16x_0" localSheetId="2">Summary!$D$121</definedName>
    <definedName name="OSRRefD22_17x_0" localSheetId="48">'300'!$D$113:$D$116</definedName>
    <definedName name="OSRRefD22_17x_0" localSheetId="49">'300 &amp; 317'!$D$119:$D$122</definedName>
    <definedName name="OSRRefD22_17x_0" localSheetId="50">'301'!$D$79</definedName>
    <definedName name="OSRRefD22_17x_0" localSheetId="63">'310'!$D$91</definedName>
    <definedName name="OSRRefD22_17x_0" localSheetId="69">'310 &amp; 491'!$D$100:$D$101</definedName>
    <definedName name="OSRRefD22_17x_0" localSheetId="57">'315'!$D$103</definedName>
    <definedName name="OSRRefD22_17x_0" localSheetId="58">'326'!$D$86</definedName>
    <definedName name="OSRRefD22_17x_0" localSheetId="56">'331'!$D$101:$D$102</definedName>
    <definedName name="OSRRefD22_17x_0" localSheetId="54">'333'!$D$105:$D$106</definedName>
    <definedName name="OSRRefD22_17x_0" localSheetId="77">'415'!$D$90</definedName>
    <definedName name="OSRRefD22_17x_0" localSheetId="70">'491'!$D$97:$D$98</definedName>
    <definedName name="OSRRefD22_17x_0" localSheetId="82">'492'!$D$93</definedName>
    <definedName name="OSRRefD22_17x_0" localSheetId="39">'Div 2'!$D$87:$D$88</definedName>
    <definedName name="OSRRefD22_17x_0" localSheetId="47">'Div 3'!$D$116:$D$119</definedName>
    <definedName name="OSRRefD22_17x_0" localSheetId="68">'Div 4'!$D$90:$D$91</definedName>
    <definedName name="OSRRefD22_17x_0" localSheetId="2">Summary!$D$123</definedName>
    <definedName name="OSRRefD22_18x_0" localSheetId="48">'300'!$D$118:$D$120</definedName>
    <definedName name="OSRRefD22_18x_0" localSheetId="49">'300 &amp; 317'!$D$124:$D$126</definedName>
    <definedName name="OSRRefD22_18x_0" localSheetId="50">'301'!$D$81:$D$86</definedName>
    <definedName name="OSRRefD22_18x_0" localSheetId="69">'310 &amp; 491'!$D$103</definedName>
    <definedName name="OSRRefD22_18x_0" localSheetId="57">'315'!$D$105</definedName>
    <definedName name="OSRRefD22_18x_0" localSheetId="56">'331'!$D$104:$D$108</definedName>
    <definedName name="OSRRefD22_18x_0" localSheetId="54">'333'!$D$108:$D$113</definedName>
    <definedName name="OSRRefD22_18x_0" localSheetId="70">'491'!$D$100</definedName>
    <definedName name="OSRRefD22_18x_0" localSheetId="82">'492'!$D$95:$D$96</definedName>
    <definedName name="OSRRefD22_18x_0" localSheetId="39">'Div 2'!$D$90</definedName>
    <definedName name="OSRRefD22_18x_0" localSheetId="47">'Div 3'!$D$121:$D$124</definedName>
    <definedName name="OSRRefD22_18x_0" localSheetId="68">'Div 4'!$D$93:$D$102</definedName>
    <definedName name="OSRRefD22_18x_0" localSheetId="2">Summary!$D$125:$D$128</definedName>
    <definedName name="OSRRefD22_19x_0" localSheetId="48">'300'!$D$122:$D$123</definedName>
    <definedName name="OSRRefD22_19x_0" localSheetId="49">'300 &amp; 317'!$D$128:$D$129</definedName>
    <definedName name="OSRRefD22_19x_0" localSheetId="50">'301'!$D$88</definedName>
    <definedName name="OSRRefD22_19x_0" localSheetId="69">'310 &amp; 491'!$D$105:$D$106</definedName>
    <definedName name="OSRRefD22_19x_0" localSheetId="56">'331'!$D$110</definedName>
    <definedName name="OSRRefD22_19x_0" localSheetId="54">'333'!$D$115</definedName>
    <definedName name="OSRRefD22_19x_0" localSheetId="70">'491'!$D$102:$D$103</definedName>
    <definedName name="OSRRefD22_19x_0" localSheetId="39">'Div 2'!$D$92:$D$93</definedName>
    <definedName name="OSRRefD22_19x_0" localSheetId="47">'Div 3'!$D$126:$D$129</definedName>
    <definedName name="OSRRefD22_19x_0" localSheetId="68">'Div 4'!$D$104:$D$105</definedName>
    <definedName name="OSRRefD22_19x_0" localSheetId="2">Summary!$D$130:$D$133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5">'307'!$D$43:$D$52</definedName>
    <definedName name="OSRRefD22_1x_0" localSheetId="51">'308'!$D$46:$D$55</definedName>
    <definedName name="OSRRefD22_1x_0" localSheetId="64">'309'!$D$29:$D$30</definedName>
    <definedName name="OSRRefD22_1x_0" localSheetId="63">'310'!$D$40:$D$49</definedName>
    <definedName name="OSRRefD22_1x_0" localSheetId="69">'310 &amp; 491'!$D$40:$D$49</definedName>
    <definedName name="OSRRefD22_1x_0" localSheetId="52">'311'!$D$46:$D$55</definedName>
    <definedName name="OSRRefD22_1x_0" localSheetId="57">'315'!$D$54:$D$63</definedName>
    <definedName name="OSRRefD22_1x_0" localSheetId="60">'316'!$D$37:$D$46</definedName>
    <definedName name="OSRRefD22_1x_0" localSheetId="62">'317'!$D$46:$D$55</definedName>
    <definedName name="OSRRefD22_1x_0" localSheetId="65">'321'!$D$35:$D$44</definedName>
    <definedName name="OSRRefD22_1x_0" localSheetId="66">'325'!$D$35:$D$44</definedName>
    <definedName name="OSRRefD22_1x_0" localSheetId="58">'326'!$D$38:$D$47</definedName>
    <definedName name="OSRRefD22_1x_0" localSheetId="67">'327'!$D$28</definedName>
    <definedName name="OSRRefD22_1x_0" localSheetId="56">'331'!$D$54:$D$63</definedName>
    <definedName name="OSRRefD22_1x_0" localSheetId="59">'332'!$D$37:$D$46</definedName>
    <definedName name="OSRRefD22_1x_0" localSheetId="54">'333'!$D$56:$D$65</definedName>
    <definedName name="OSRRefD22_1x_0" localSheetId="71">'405'!$D$37:$D$46</definedName>
    <definedName name="OSRRefD22_1x_0" localSheetId="72">'406'!$D$22</definedName>
    <definedName name="OSRRefD22_1x_0" localSheetId="73">'411'!$D$30:$D$39</definedName>
    <definedName name="OSRRefD22_1x_0" localSheetId="74">'412'!$D$22</definedName>
    <definedName name="OSRRefD22_1x_0" localSheetId="75">'413'!$D$22</definedName>
    <definedName name="OSRRefD22_1x_0" localSheetId="76">'414'!$D$22</definedName>
    <definedName name="OSRRefD22_1x_0" localSheetId="77">'415'!$D$37:$D$46</definedName>
    <definedName name="OSRRefD22_1x_0" localSheetId="78">'418'!$D$34:$D$43</definedName>
    <definedName name="OSRRefD22_1x_0" localSheetId="79">'423'!$D$29:$D$38</definedName>
    <definedName name="OSRRefD22_1x_0" localSheetId="80">'424'!$D$22</definedName>
    <definedName name="OSRRefD22_1x_0" localSheetId="81">'425'!$D$24</definedName>
    <definedName name="OSRRefD22_1x_0" localSheetId="83">'430'!$D$30:$D$39</definedName>
    <definedName name="OSRRefD22_1x_0" localSheetId="84">'433'!$D$38:$D$47</definedName>
    <definedName name="OSRRefD22_1x_0" localSheetId="86">'444'!$D$38:$D$47</definedName>
    <definedName name="OSRRefD22_1x_0" localSheetId="87">'450'!$D$38:$D$47</definedName>
    <definedName name="OSRRefD22_1x_0" localSheetId="70">'491'!$D$38:$D$47</definedName>
    <definedName name="OSRRefD22_1x_0" localSheetId="82">'492'!$D$38:$D$47</definedName>
    <definedName name="OSRRefD22_1x_0" localSheetId="89">'501'!$D$32:$D$41</definedName>
    <definedName name="OSRRefD22_1x_0" localSheetId="39">'Div 2'!$D$32:$D$41</definedName>
    <definedName name="OSRRefD22_1x_0" localSheetId="47">'Div 3'!$D$71:$D$80</definedName>
    <definedName name="OSRRefD22_1x_0" localSheetId="68">'Div 4'!$D$40:$D$49</definedName>
    <definedName name="OSRRefD22_1x_0" localSheetId="88">'Div 5'!$D$32:$D$41</definedName>
    <definedName name="OSRRefD22_1x_0" localSheetId="61">'Div 6'!$D$46:$D$55</definedName>
    <definedName name="OSRRefD22_1x_0" localSheetId="2">Summary!$D$77:$D$86</definedName>
    <definedName name="OSRRefD22_20x_0" localSheetId="48">'300'!$D$125:$D$131</definedName>
    <definedName name="OSRRefD22_20x_0" localSheetId="49">'300 &amp; 317'!$D$131:$D$137</definedName>
    <definedName name="OSRRefD22_20x_0" localSheetId="50">'301'!$D$90</definedName>
    <definedName name="OSRRefD22_20x_0" localSheetId="69">'310 &amp; 491'!$D$108</definedName>
    <definedName name="OSRRefD22_20x_0" localSheetId="56">'331'!$D$112</definedName>
    <definedName name="OSRRefD22_20x_0" localSheetId="54">'333'!$D$117</definedName>
    <definedName name="OSRRefD22_20x_0" localSheetId="70">'491'!$D$105</definedName>
    <definedName name="OSRRefD22_20x_0" localSheetId="47">'Div 3'!$D$131:$D$132</definedName>
    <definedName name="OSRRefD22_20x_0" localSheetId="68">'Div 4'!$D$107</definedName>
    <definedName name="OSRRefD22_20x_0" localSheetId="2">Summary!$D$135:$D$139</definedName>
    <definedName name="OSRRefD22_21x_0" localSheetId="48">'300'!$D$133:$D$134</definedName>
    <definedName name="OSRRefD22_21x_0" localSheetId="49">'300 &amp; 317'!$D$139:$D$140</definedName>
    <definedName name="OSRRefD22_21x_0" localSheetId="50">'301'!$D$92:$D$93</definedName>
    <definedName name="OSRRefD22_21x_0" localSheetId="56">'331'!$D$114:$D$115</definedName>
    <definedName name="OSRRefD22_21x_0" localSheetId="54">'333'!$D$119:$D$120</definedName>
    <definedName name="OSRRefD22_21x_0" localSheetId="47">'Div 3'!$D$134:$D$140</definedName>
    <definedName name="OSRRefD22_21x_0" localSheetId="68">'Div 4'!$D$109:$D$110</definedName>
    <definedName name="OSRRefD22_21x_0" localSheetId="2">Summary!$D$141:$D$142</definedName>
    <definedName name="OSRRefD22_22x_0" localSheetId="48">'300'!$D$136</definedName>
    <definedName name="OSRRefD22_22x_0" localSheetId="49">'300 &amp; 317'!$D$142</definedName>
    <definedName name="OSRRefD22_22x_0" localSheetId="50">'301'!$D$95</definedName>
    <definedName name="OSRRefD22_22x_0" localSheetId="56">'331'!$D$117</definedName>
    <definedName name="OSRRefD22_22x_0" localSheetId="54">'333'!$D$122</definedName>
    <definedName name="OSRRefD22_22x_0" localSheetId="47">'Div 3'!$D$142:$D$143</definedName>
    <definedName name="OSRRefD22_22x_0" localSheetId="68">'Div 4'!$D$112</definedName>
    <definedName name="OSRRefD22_22x_0" localSheetId="2">Summary!$D$144:$D$153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3'!$D$145</definedName>
    <definedName name="OSRRefD22_23x_0" localSheetId="2">Summary!$D$155:$D$156</definedName>
    <definedName name="OSRRefD22_24x_0" localSheetId="48">'300'!$D$142</definedName>
    <definedName name="OSRRefD22_24x_0" localSheetId="49">'300 &amp; 317'!$D$148</definedName>
    <definedName name="OSRRefD22_24x_0" localSheetId="47">'Div 3'!$D$147:$D$149</definedName>
    <definedName name="OSRRefD22_24x_0" localSheetId="2">Summary!$D$158</definedName>
    <definedName name="OSRRefD22_25x_0" localSheetId="47">'Div 3'!$D$151</definedName>
    <definedName name="OSRRefD22_25x_0" localSheetId="2">Summary!$D$160:$D$162</definedName>
    <definedName name="OSRRefD22_26x_0" localSheetId="2">Summary!$D$164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5">'307'!$D$54</definedName>
    <definedName name="OSRRefD22_2x_0" localSheetId="51">'308'!$D$57</definedName>
    <definedName name="OSRRefD22_2x_0" localSheetId="64">'309'!$D$32</definedName>
    <definedName name="OSRRefD22_2x_0" localSheetId="63">'310'!$D$51</definedName>
    <definedName name="OSRRefD22_2x_0" localSheetId="69">'310 &amp; 491'!$D$51</definedName>
    <definedName name="OSRRefD22_2x_0" localSheetId="52">'311'!$D$57</definedName>
    <definedName name="OSRRefD22_2x_0" localSheetId="57">'315'!$D$65</definedName>
    <definedName name="OSRRefD22_2x_0" localSheetId="60">'316'!$D$48</definedName>
    <definedName name="OSRRefD22_2x_0" localSheetId="62">'317'!$D$57</definedName>
    <definedName name="OSRRefD22_2x_0" localSheetId="65">'321'!$D$46</definedName>
    <definedName name="OSRRefD22_2x_0" localSheetId="66">'325'!$D$46</definedName>
    <definedName name="OSRRefD22_2x_0" localSheetId="58">'326'!$D$49</definedName>
    <definedName name="OSRRefD22_2x_0" localSheetId="56">'331'!$D$65</definedName>
    <definedName name="OSRRefD22_2x_0" localSheetId="59">'332'!$D$48</definedName>
    <definedName name="OSRRefD22_2x_0" localSheetId="54">'333'!$D$67</definedName>
    <definedName name="OSRRefD22_2x_0" localSheetId="71">'405'!$D$48</definedName>
    <definedName name="OSRRefD22_2x_0" localSheetId="73">'411'!$D$41</definedName>
    <definedName name="OSRRefD22_2x_0" localSheetId="74">'412'!$D$24</definedName>
    <definedName name="OSRRefD22_2x_0" localSheetId="75">'413'!$D$24</definedName>
    <definedName name="OSRRefD22_2x_0" localSheetId="76">'414'!$D$24</definedName>
    <definedName name="OSRRefD22_2x_0" localSheetId="77">'415'!$D$48</definedName>
    <definedName name="OSRRefD22_2x_0" localSheetId="78">'418'!$D$45</definedName>
    <definedName name="OSRRefD22_2x_0" localSheetId="79">'423'!$D$40</definedName>
    <definedName name="OSRRefD22_2x_0" localSheetId="80">'424'!$D$24</definedName>
    <definedName name="OSRRefD22_2x_0" localSheetId="81">'425'!$D$26</definedName>
    <definedName name="OSRRefD22_2x_0" localSheetId="83">'430'!$D$41</definedName>
    <definedName name="OSRRefD22_2x_0" localSheetId="84">'433'!$D$49</definedName>
    <definedName name="OSRRefD22_2x_0" localSheetId="86">'444'!$D$49</definedName>
    <definedName name="OSRRefD22_2x_0" localSheetId="87">'450'!$D$49</definedName>
    <definedName name="OSRRefD22_2x_0" localSheetId="70">'491'!$D$49</definedName>
    <definedName name="OSRRefD22_2x_0" localSheetId="82">'492'!$D$49</definedName>
    <definedName name="OSRRefD22_2x_0" localSheetId="89">'501'!$D$43</definedName>
    <definedName name="OSRRefD22_2x_0" localSheetId="39">'Div 2'!$D$43</definedName>
    <definedName name="OSRRefD22_2x_0" localSheetId="47">'Div 3'!$D$82</definedName>
    <definedName name="OSRRefD22_2x_0" localSheetId="68">'Div 4'!$D$51</definedName>
    <definedName name="OSRRefD22_2x_0" localSheetId="88">'Div 5'!$D$43</definedName>
    <definedName name="OSRRefD22_2x_0" localSheetId="61">'Div 6'!$D$57</definedName>
    <definedName name="OSRRefD22_2x_0" localSheetId="2">Summary!$D$88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5">'307'!$D$56</definedName>
    <definedName name="OSRRefD22_3x_0" localSheetId="51">'308'!$D$59</definedName>
    <definedName name="OSRRefD22_3x_0" localSheetId="64">'309'!$D$34</definedName>
    <definedName name="OSRRefD22_3x_0" localSheetId="63">'310'!$D$53</definedName>
    <definedName name="OSRRefD22_3x_0" localSheetId="69">'310 &amp; 491'!$D$53</definedName>
    <definedName name="OSRRefD22_3x_0" localSheetId="52">'311'!$D$59</definedName>
    <definedName name="OSRRefD22_3x_0" localSheetId="57">'315'!$D$67</definedName>
    <definedName name="OSRRefD22_3x_0" localSheetId="60">'316'!$D$50</definedName>
    <definedName name="OSRRefD22_3x_0" localSheetId="62">'317'!$D$59</definedName>
    <definedName name="OSRRefD22_3x_0" localSheetId="65">'321'!$D$48</definedName>
    <definedName name="OSRRefD22_3x_0" localSheetId="66">'325'!$D$48</definedName>
    <definedName name="OSRRefD22_3x_0" localSheetId="58">'326'!$D$51</definedName>
    <definedName name="OSRRefD22_3x_0" localSheetId="56">'331'!$D$67</definedName>
    <definedName name="OSRRefD22_3x_0" localSheetId="59">'332'!$D$50</definedName>
    <definedName name="OSRRefD22_3x_0" localSheetId="54">'333'!$D$69</definedName>
    <definedName name="OSRRefD22_3x_0" localSheetId="71">'405'!$D$50</definedName>
    <definedName name="OSRRefD22_3x_0" localSheetId="73">'411'!$D$43:$D$44</definedName>
    <definedName name="OSRRefD22_3x_0" localSheetId="74">'412'!$D$26</definedName>
    <definedName name="OSRRefD22_3x_0" localSheetId="77">'415'!$D$50</definedName>
    <definedName name="OSRRefD22_3x_0" localSheetId="78">'418'!$D$47</definedName>
    <definedName name="OSRRefD22_3x_0" localSheetId="79">'423'!$D$42</definedName>
    <definedName name="OSRRefD22_3x_0" localSheetId="81">'425'!$D$28</definedName>
    <definedName name="OSRRefD22_3x_0" localSheetId="83">'430'!$D$43</definedName>
    <definedName name="OSRRefD22_3x_0" localSheetId="84">'433'!$D$51</definedName>
    <definedName name="OSRRefD22_3x_0" localSheetId="86">'444'!$D$51</definedName>
    <definedName name="OSRRefD22_3x_0" localSheetId="87">'450'!$D$51</definedName>
    <definedName name="OSRRefD22_3x_0" localSheetId="70">'491'!$D$51</definedName>
    <definedName name="OSRRefD22_3x_0" localSheetId="82">'492'!$D$51</definedName>
    <definedName name="OSRRefD22_3x_0" localSheetId="89">'501'!$D$45</definedName>
    <definedName name="OSRRefD22_3x_0" localSheetId="39">'Div 2'!$D$45</definedName>
    <definedName name="OSRRefD22_3x_0" localSheetId="47">'Div 3'!$D$84</definedName>
    <definedName name="OSRRefD22_3x_0" localSheetId="68">'Div 4'!$D$53</definedName>
    <definedName name="OSRRefD22_3x_0" localSheetId="88">'Div 5'!$D$45</definedName>
    <definedName name="OSRRefD22_3x_0" localSheetId="61">'Div 6'!$D$59</definedName>
    <definedName name="OSRRefD22_3x_0" localSheetId="2">Summary!$D$90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5">'307'!$D$58</definedName>
    <definedName name="OSRRefD22_4x_0" localSheetId="51">'308'!$D$61</definedName>
    <definedName name="OSRRefD22_4x_0" localSheetId="64">'309'!$D$36</definedName>
    <definedName name="OSRRefD22_4x_0" localSheetId="63">'310'!$D$55</definedName>
    <definedName name="OSRRefD22_4x_0" localSheetId="69">'310 &amp; 491'!$D$55</definedName>
    <definedName name="OSRRefD22_4x_0" localSheetId="52">'311'!$D$61</definedName>
    <definedName name="OSRRefD22_4x_0" localSheetId="57">'315'!$D$69</definedName>
    <definedName name="OSRRefD22_4x_0" localSheetId="60">'316'!$D$52</definedName>
    <definedName name="OSRRefD22_4x_0" localSheetId="62">'317'!$D$61</definedName>
    <definedName name="OSRRefD22_4x_0" localSheetId="65">'321'!$D$50</definedName>
    <definedName name="OSRRefD22_4x_0" localSheetId="66">'325'!$D$50</definedName>
    <definedName name="OSRRefD22_4x_0" localSheetId="58">'326'!$D$53</definedName>
    <definedName name="OSRRefD22_4x_0" localSheetId="56">'331'!$D$69</definedName>
    <definedName name="OSRRefD22_4x_0" localSheetId="59">'332'!$D$52</definedName>
    <definedName name="OSRRefD22_4x_0" localSheetId="54">'333'!$D$71</definedName>
    <definedName name="OSRRefD22_4x_0" localSheetId="71">'405'!$D$52</definedName>
    <definedName name="OSRRefD22_4x_0" localSheetId="73">'411'!$D$46</definedName>
    <definedName name="OSRRefD22_4x_0" localSheetId="77">'415'!$D$52</definedName>
    <definedName name="OSRRefD22_4x_0" localSheetId="78">'418'!$D$49:$D$50</definedName>
    <definedName name="OSRRefD22_4x_0" localSheetId="79">'423'!$D$44</definedName>
    <definedName name="OSRRefD22_4x_0" localSheetId="81">'425'!$D$30</definedName>
    <definedName name="OSRRefD22_4x_0" localSheetId="83">'430'!$D$45</definedName>
    <definedName name="OSRRefD22_4x_0" localSheetId="84">'433'!$D$53</definedName>
    <definedName name="OSRRefD22_4x_0" localSheetId="86">'444'!$D$53</definedName>
    <definedName name="OSRRefD22_4x_0" localSheetId="87">'450'!$D$53</definedName>
    <definedName name="OSRRefD22_4x_0" localSheetId="70">'491'!$D$53</definedName>
    <definedName name="OSRRefD22_4x_0" localSheetId="82">'492'!$D$53</definedName>
    <definedName name="OSRRefD22_4x_0" localSheetId="89">'501'!$D$47</definedName>
    <definedName name="OSRRefD22_4x_0" localSheetId="39">'Div 2'!$D$47</definedName>
    <definedName name="OSRRefD22_4x_0" localSheetId="47">'Div 3'!$D$86</definedName>
    <definedName name="OSRRefD22_4x_0" localSheetId="68">'Div 4'!$D$55</definedName>
    <definedName name="OSRRefD22_4x_0" localSheetId="88">'Div 5'!$D$47</definedName>
    <definedName name="OSRRefD22_4x_0" localSheetId="61">'Div 6'!$D$61</definedName>
    <definedName name="OSRRefD22_4x_0" localSheetId="2">Summary!$D$92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5">'307'!$D$60:$D$61</definedName>
    <definedName name="OSRRefD22_5x_0" localSheetId="51">'308'!$D$63</definedName>
    <definedName name="OSRRefD22_5x_0" localSheetId="64">'309'!$D$38</definedName>
    <definedName name="OSRRefD22_5x_0" localSheetId="63">'310'!$D$57:$D$58</definedName>
    <definedName name="OSRRefD22_5x_0" localSheetId="69">'310 &amp; 491'!$D$57:$D$58</definedName>
    <definedName name="OSRRefD22_5x_0" localSheetId="52">'311'!$D$63</definedName>
    <definedName name="OSRRefD22_5x_0" localSheetId="57">'315'!$D$71</definedName>
    <definedName name="OSRRefD22_5x_0" localSheetId="60">'316'!$D$54:$D$55</definedName>
    <definedName name="OSRRefD22_5x_0" localSheetId="62">'317'!$D$63</definedName>
    <definedName name="OSRRefD22_5x_0" localSheetId="65">'321'!$D$52</definedName>
    <definedName name="OSRRefD22_5x_0" localSheetId="66">'325'!$D$52:$D$53</definedName>
    <definedName name="OSRRefD22_5x_0" localSheetId="58">'326'!$D$55</definedName>
    <definedName name="OSRRefD22_5x_0" localSheetId="56">'331'!$D$71</definedName>
    <definedName name="OSRRefD22_5x_0" localSheetId="59">'332'!$D$54:$D$55</definedName>
    <definedName name="OSRRefD22_5x_0" localSheetId="54">'333'!$D$73:$D$74</definedName>
    <definedName name="OSRRefD22_5x_0" localSheetId="71">'405'!$D$54:$D$55</definedName>
    <definedName name="OSRRefD22_5x_0" localSheetId="73">'411'!$D$48</definedName>
    <definedName name="OSRRefD22_5x_0" localSheetId="77">'415'!$D$54:$D$55</definedName>
    <definedName name="OSRRefD22_5x_0" localSheetId="78">'418'!$D$52</definedName>
    <definedName name="OSRRefD22_5x_0" localSheetId="79">'423'!$D$46</definedName>
    <definedName name="OSRRefD22_5x_0" localSheetId="81">'425'!$D$32</definedName>
    <definedName name="OSRRefD22_5x_0" localSheetId="83">'430'!$D$47:$D$48</definedName>
    <definedName name="OSRRefD22_5x_0" localSheetId="84">'433'!$D$55</definedName>
    <definedName name="OSRRefD22_5x_0" localSheetId="86">'444'!$D$55</definedName>
    <definedName name="OSRRefD22_5x_0" localSheetId="87">'450'!$D$55</definedName>
    <definedName name="OSRRefD22_5x_0" localSheetId="70">'491'!$D$55:$D$56</definedName>
    <definedName name="OSRRefD22_5x_0" localSheetId="82">'492'!$D$55</definedName>
    <definedName name="OSRRefD22_5x_0" localSheetId="89">'501'!$D$49:$D$50</definedName>
    <definedName name="OSRRefD22_5x_0" localSheetId="39">'Div 2'!$D$49:$D$50</definedName>
    <definedName name="OSRRefD22_5x_0" localSheetId="47">'Div 3'!$D$88:$D$89</definedName>
    <definedName name="OSRRefD22_5x_0" localSheetId="68">'Div 4'!$D$57:$D$58</definedName>
    <definedName name="OSRRefD22_5x_0" localSheetId="88">'Div 5'!$D$49:$D$50</definedName>
    <definedName name="OSRRefD22_5x_0" localSheetId="61">'Div 6'!$D$63</definedName>
    <definedName name="OSRRefD22_5x_0" localSheetId="2">Summary!$D$94:$D$95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'204'!$D$53:$D$54</definedName>
    <definedName name="OSRRefD22_6x_0" localSheetId="45">'205'!$D$50:$D$52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'301'!$D$52:$D$53</definedName>
    <definedName name="OSRRefD22_6x_0" localSheetId="55">'307'!$D$63</definedName>
    <definedName name="OSRRefD22_6x_0" localSheetId="51">'308'!$D$65:$D$66</definedName>
    <definedName name="OSRRefD22_6x_0" localSheetId="64">'309'!$D$40</definedName>
    <definedName name="OSRRefD22_6x_0" localSheetId="63">'310'!$D$60</definedName>
    <definedName name="OSRRefD22_6x_0" localSheetId="69">'310 &amp; 491'!$D$60</definedName>
    <definedName name="OSRRefD22_6x_0" localSheetId="52">'311'!$D$65:$D$66</definedName>
    <definedName name="OSRRefD22_6x_0" localSheetId="57">'315'!$D$73</definedName>
    <definedName name="OSRRefD22_6x_0" localSheetId="60">'316'!$D$57</definedName>
    <definedName name="OSRRefD22_6x_0" localSheetId="62">'317'!$D$65</definedName>
    <definedName name="OSRRefD22_6x_0" localSheetId="65">'321'!$D$54</definedName>
    <definedName name="OSRRefD22_6x_0" localSheetId="66">'325'!$D$55</definedName>
    <definedName name="OSRRefD22_6x_0" localSheetId="58">'326'!$D$57:$D$58</definedName>
    <definedName name="OSRRefD22_6x_0" localSheetId="56">'331'!$D$73</definedName>
    <definedName name="OSRRefD22_6x_0" localSheetId="59">'332'!$D$57</definedName>
    <definedName name="OSRRefD22_6x_0" localSheetId="54">'333'!$D$76</definedName>
    <definedName name="OSRRefD22_6x_0" localSheetId="71">'405'!$D$57</definedName>
    <definedName name="OSRRefD22_6x_0" localSheetId="73">'411'!$D$50</definedName>
    <definedName name="OSRRefD22_6x_0" localSheetId="77">'415'!$D$57</definedName>
    <definedName name="OSRRefD22_6x_0" localSheetId="78">'418'!$D$54</definedName>
    <definedName name="OSRRefD22_6x_0" localSheetId="83">'430'!$D$50:$D$51</definedName>
    <definedName name="OSRRefD22_6x_0" localSheetId="84">'433'!$D$57</definedName>
    <definedName name="OSRRefD22_6x_0" localSheetId="86">'444'!$D$57</definedName>
    <definedName name="OSRRefD22_6x_0" localSheetId="87">'450'!$D$57</definedName>
    <definedName name="OSRRefD22_6x_0" localSheetId="70">'491'!$D$58</definedName>
    <definedName name="OSRRefD22_6x_0" localSheetId="82">'492'!$D$57</definedName>
    <definedName name="OSRRefD22_6x_0" localSheetId="89">'501'!$D$52</definedName>
    <definedName name="OSRRefD22_6x_0" localSheetId="39">'Div 2'!$D$52</definedName>
    <definedName name="OSRRefD22_6x_0" localSheetId="47">'Div 3'!$D$91:$D$92</definedName>
    <definedName name="OSRRefD22_6x_0" localSheetId="68">'Div 4'!$D$60</definedName>
    <definedName name="OSRRefD22_6x_0" localSheetId="88">'Div 5'!$D$52</definedName>
    <definedName name="OSRRefD22_6x_0" localSheetId="61">'Div 6'!$D$65</definedName>
    <definedName name="OSRRefD22_6x_0" localSheetId="2">Summary!$D$97:$D$98</definedName>
    <definedName name="OSRRefD22_7x_0" localSheetId="41">'201'!$D$51</definedName>
    <definedName name="OSRRefD22_7x_0" localSheetId="42">'202'!$D$51:$D$53</definedName>
    <definedName name="OSRRefD22_7x_0" localSheetId="43">'203'!$D$52</definedName>
    <definedName name="OSRRefD22_7x_0" localSheetId="44">'204'!$D$56</definedName>
    <definedName name="OSRRefD22_7x_0" localSheetId="45">'205'!$D$54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'301'!$D$55</definedName>
    <definedName name="OSRRefD22_7x_0" localSheetId="55">'307'!$D$65</definedName>
    <definedName name="OSRRefD22_7x_0" localSheetId="51">'308'!$D$68</definedName>
    <definedName name="OSRRefD22_7x_0" localSheetId="64">'309'!$D$42</definedName>
    <definedName name="OSRRefD22_7x_0" localSheetId="63">'310'!$D$62</definedName>
    <definedName name="OSRRefD22_7x_0" localSheetId="69">'310 &amp; 491'!$D$62</definedName>
    <definedName name="OSRRefD22_7x_0" localSheetId="52">'311'!$D$68</definedName>
    <definedName name="OSRRefD22_7x_0" localSheetId="57">'315'!$D$75</definedName>
    <definedName name="OSRRefD22_7x_0" localSheetId="60">'316'!$D$59:$D$61</definedName>
    <definedName name="OSRRefD22_7x_0" localSheetId="62">'317'!$D$67</definedName>
    <definedName name="OSRRefD22_7x_0" localSheetId="65">'321'!$D$56:$D$57</definedName>
    <definedName name="OSRRefD22_7x_0" localSheetId="66">'325'!$D$57</definedName>
    <definedName name="OSRRefD22_7x_0" localSheetId="58">'326'!$D$60</definedName>
    <definedName name="OSRRefD22_7x_0" localSheetId="56">'331'!$D$75</definedName>
    <definedName name="OSRRefD22_7x_0" localSheetId="59">'332'!$D$59:$D$61</definedName>
    <definedName name="OSRRefD22_7x_0" localSheetId="54">'333'!$D$78</definedName>
    <definedName name="OSRRefD22_7x_0" localSheetId="71">'405'!$D$59</definedName>
    <definedName name="OSRRefD22_7x_0" localSheetId="73">'411'!$D$52</definedName>
    <definedName name="OSRRefD22_7x_0" localSheetId="77">'415'!$D$59</definedName>
    <definedName name="OSRRefD22_7x_0" localSheetId="78">'418'!$D$56:$D$57</definedName>
    <definedName name="OSRRefD22_7x_0" localSheetId="83">'430'!$D$53</definedName>
    <definedName name="OSRRefD22_7x_0" localSheetId="84">'433'!$D$59</definedName>
    <definedName name="OSRRefD22_7x_0" localSheetId="86">'444'!$D$59</definedName>
    <definedName name="OSRRefD22_7x_0" localSheetId="87">'450'!$D$59</definedName>
    <definedName name="OSRRefD22_7x_0" localSheetId="70">'491'!$D$60</definedName>
    <definedName name="OSRRefD22_7x_0" localSheetId="82">'492'!$D$59</definedName>
    <definedName name="OSRRefD22_7x_0" localSheetId="89">'501'!$D$54</definedName>
    <definedName name="OSRRefD22_7x_0" localSheetId="39">'Div 2'!$D$54</definedName>
    <definedName name="OSRRefD22_7x_0" localSheetId="47">'Div 3'!$D$94</definedName>
    <definedName name="OSRRefD22_7x_0" localSheetId="68">'Div 4'!$D$62</definedName>
    <definedName name="OSRRefD22_7x_0" localSheetId="88">'Div 5'!$D$54</definedName>
    <definedName name="OSRRefD22_7x_0" localSheetId="61">'Div 6'!$D$67</definedName>
    <definedName name="OSRRefD22_7x_0" localSheetId="2">Summary!$D$100</definedName>
    <definedName name="OSRRefD22_8x_0" localSheetId="41">'201'!$D$53</definedName>
    <definedName name="OSRRefD22_8x_0" localSheetId="42">'202'!$D$55</definedName>
    <definedName name="OSRRefD22_8x_0" localSheetId="43">'203'!$D$54:$D$56</definedName>
    <definedName name="OSRRefD22_8x_0" localSheetId="44">'204'!$D$58:$D$59</definedName>
    <definedName name="OSRRefD22_8x_0" localSheetId="48">'300'!$D$90</definedName>
    <definedName name="OSRRefD22_8x_0" localSheetId="49">'300 &amp; 317'!$D$96</definedName>
    <definedName name="OSRRefD22_8x_0" localSheetId="50">'301'!$D$57</definedName>
    <definedName name="OSRRefD22_8x_0" localSheetId="55">'307'!$D$67</definedName>
    <definedName name="OSRRefD22_8x_0" localSheetId="51">'308'!$D$70</definedName>
    <definedName name="OSRRefD22_8x_0" localSheetId="64">'309'!$D$44:$D$45</definedName>
    <definedName name="OSRRefD22_8x_0" localSheetId="63">'310'!$D$64</definedName>
    <definedName name="OSRRefD22_8x_0" localSheetId="69">'310 &amp; 491'!$D$64:$D$65</definedName>
    <definedName name="OSRRefD22_8x_0" localSheetId="52">'311'!$D$70</definedName>
    <definedName name="OSRRefD22_8x_0" localSheetId="57">'315'!$D$77:$D$78</definedName>
    <definedName name="OSRRefD22_8x_0" localSheetId="60">'316'!$D$63</definedName>
    <definedName name="OSRRefD22_8x_0" localSheetId="62">'317'!$D$69:$D$70</definedName>
    <definedName name="OSRRefD22_8x_0" localSheetId="65">'321'!$D$59</definedName>
    <definedName name="OSRRefD22_8x_0" localSheetId="66">'325'!$D$59</definedName>
    <definedName name="OSRRefD22_8x_0" localSheetId="58">'326'!$D$62</definedName>
    <definedName name="OSRRefD22_8x_0" localSheetId="56">'331'!$D$77:$D$78</definedName>
    <definedName name="OSRRefD22_8x_0" localSheetId="59">'332'!$D$63</definedName>
    <definedName name="OSRRefD22_8x_0" localSheetId="54">'333'!$D$80:$D$81</definedName>
    <definedName name="OSRRefD22_8x_0" localSheetId="71">'405'!$D$61</definedName>
    <definedName name="OSRRefD22_8x_0" localSheetId="73">'411'!$D$54:$D$57</definedName>
    <definedName name="OSRRefD22_8x_0" localSheetId="77">'415'!$D$61</definedName>
    <definedName name="OSRRefD22_8x_0" localSheetId="78">'418'!$D$59:$D$60</definedName>
    <definedName name="OSRRefD22_8x_0" localSheetId="83">'430'!$D$55</definedName>
    <definedName name="OSRRefD22_8x_0" localSheetId="84">'433'!$D$61</definedName>
    <definedName name="OSRRefD22_8x_0" localSheetId="86">'444'!$D$61</definedName>
    <definedName name="OSRRefD22_8x_0" localSheetId="87">'450'!$D$61</definedName>
    <definedName name="OSRRefD22_8x_0" localSheetId="70">'491'!$D$62:$D$63</definedName>
    <definedName name="OSRRefD22_8x_0" localSheetId="82">'492'!$D$61</definedName>
    <definedName name="OSRRefD22_8x_0" localSheetId="89">'501'!$D$56</definedName>
    <definedName name="OSRRefD22_8x_0" localSheetId="39">'Div 2'!$D$56</definedName>
    <definedName name="OSRRefD22_8x_0" localSheetId="47">'Div 3'!$D$96</definedName>
    <definedName name="OSRRefD22_8x_0" localSheetId="68">'Div 4'!$D$64</definedName>
    <definedName name="OSRRefD22_8x_0" localSheetId="88">'Div 5'!$D$56</definedName>
    <definedName name="OSRRefD22_8x_0" localSheetId="61">'Div 6'!$D$69:$D$70</definedName>
    <definedName name="OSRRefD22_8x_0" localSheetId="2">Summary!$D$102</definedName>
    <definedName name="OSRRefD22_9x_0" localSheetId="41">'201'!$D$55:$D$57</definedName>
    <definedName name="OSRRefD22_9x_0" localSheetId="42">'202'!$D$57</definedName>
    <definedName name="OSRRefD22_9x_0" localSheetId="43">'203'!$D$58:$D$59</definedName>
    <definedName name="OSRRefD22_9x_0" localSheetId="44">'204'!$D$61</definedName>
    <definedName name="OSRRefD22_9x_0" localSheetId="48">'300'!$D$92</definedName>
    <definedName name="OSRRefD22_9x_0" localSheetId="49">'300 &amp; 317'!$D$98</definedName>
    <definedName name="OSRRefD22_9x_0" localSheetId="50">'301'!$D$59</definedName>
    <definedName name="OSRRefD22_9x_0" localSheetId="55">'307'!$D$69:$D$70</definedName>
    <definedName name="OSRRefD22_9x_0" localSheetId="51">'308'!$D$72:$D$74</definedName>
    <definedName name="OSRRefD22_9x_0" localSheetId="64">'309'!$D$47:$D$48</definedName>
    <definedName name="OSRRefD22_9x_0" localSheetId="63">'310'!$D$66</definedName>
    <definedName name="OSRRefD22_9x_0" localSheetId="69">'310 &amp; 491'!$D$67</definedName>
    <definedName name="OSRRefD22_9x_0" localSheetId="52">'311'!$D$72:$D$74</definedName>
    <definedName name="OSRRefD22_9x_0" localSheetId="57">'315'!$D$80</definedName>
    <definedName name="OSRRefD22_9x_0" localSheetId="60">'316'!$D$65:$D$68</definedName>
    <definedName name="OSRRefD22_9x_0" localSheetId="62">'317'!$D$72</definedName>
    <definedName name="OSRRefD22_9x_0" localSheetId="65">'321'!$D$61:$D$62</definedName>
    <definedName name="OSRRefD22_9x_0" localSheetId="66">'325'!$D$61</definedName>
    <definedName name="OSRRefD22_9x_0" localSheetId="58">'326'!$D$64</definedName>
    <definedName name="OSRRefD22_9x_0" localSheetId="56">'331'!$D$80:$D$81</definedName>
    <definedName name="OSRRefD22_9x_0" localSheetId="59">'332'!$D$65:$D$68</definedName>
    <definedName name="OSRRefD22_9x_0" localSheetId="54">'333'!$D$83:$D$84</definedName>
    <definedName name="OSRRefD22_9x_0" localSheetId="71">'405'!$D$63:$D$64</definedName>
    <definedName name="OSRRefD22_9x_0" localSheetId="73">'411'!$D$59:$D$61</definedName>
    <definedName name="OSRRefD22_9x_0" localSheetId="77">'415'!$D$63</definedName>
    <definedName name="OSRRefD22_9x_0" localSheetId="78">'418'!$D$62:$D$65</definedName>
    <definedName name="OSRRefD22_9x_0" localSheetId="84">'433'!$D$63</definedName>
    <definedName name="OSRRefD22_9x_0" localSheetId="86">'444'!$D$63</definedName>
    <definedName name="OSRRefD22_9x_0" localSheetId="87">'450'!$D$63</definedName>
    <definedName name="OSRRefD22_9x_0" localSheetId="70">'491'!$D$65</definedName>
    <definedName name="OSRRefD22_9x_0" localSheetId="82">'492'!$D$63</definedName>
    <definedName name="OSRRefD22_9x_0" localSheetId="89">'501'!$D$58:$D$60</definedName>
    <definedName name="OSRRefD22_9x_0" localSheetId="39">'Div 2'!$D$58</definedName>
    <definedName name="OSRRefD22_9x_0" localSheetId="47">'Div 3'!$D$98</definedName>
    <definedName name="OSRRefD22_9x_0" localSheetId="68">'Div 4'!$D$66:$D$67</definedName>
    <definedName name="OSRRefD22_9x_0" localSheetId="88">'Div 5'!$D$58:$D$60</definedName>
    <definedName name="OSRRefD22_9x_0" localSheetId="61">'Div 6'!$D$72</definedName>
    <definedName name="OSRRefD22_9x_0" localSheetId="2">Summary!$D$104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'201'!$D$20:$D$28,'201'!$D$30:$D$39,'201'!$D$41,'201'!$D$43,'201'!$D$45,'201'!$D$47,'201'!$D$49,'201'!$D$51,'201'!$D$53,'201'!$D$55:$D$57,'201'!$D$59:$D$60,'201'!$D$62,'201'!$D$64:$D$65,'201'!$D$67,'201'!$D$69,'201'!$D$71</definedName>
    <definedName name="OSRRefD22x_0" localSheetId="42">'202'!$D$20:$D$28,'202'!$D$30:$D$39,'202'!$D$41,'202'!$D$43,'202'!$D$45,'202'!$D$47,'202'!$D$49,'202'!$D$51:$D$53,'202'!$D$55,'202'!$D$57,'202'!$D$59,'202'!$D$61,'202'!$D$63</definedName>
    <definedName name="OSRRefD22x_0" localSheetId="43">'203'!$D$20:$D$29,'203'!$D$31:$D$40,'203'!$D$42,'203'!$D$44,'203'!$D$46,'203'!$D$48,'203'!$D$50,'203'!$D$52,'203'!$D$54:$D$56,'203'!$D$58:$D$59,'203'!$D$61:$D$62,'203'!$D$64:$D$67,'203'!$D$69,'203'!$D$71,'203'!$D$73</definedName>
    <definedName name="OSRRefD22x_0" localSheetId="44">'204'!$D$20:$D$28,'204'!$D$30:$D$39,'204'!$D$41,'204'!$D$43:$D$44,'204'!$D$46,'204'!$D$48:$D$51,'204'!$D$53:$D$54,'204'!$D$56,'204'!$D$58:$D$59,'204'!$D$61,'204'!$D$63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$93,'301'!$D$95</definedName>
    <definedName name="OSRRefD22x_0" localSheetId="55">'307'!$D$34:$D$41,'307'!$D$43:$D$52,'307'!$D$54,'307'!$D$56,'307'!$D$58,'307'!$D$60:$D$61,'307'!$D$63,'307'!$D$65,'307'!$D$67,'307'!$D$69:$D$70,'307'!$D$72:$D$73,'307'!$D$75,'307'!$D$77:$D$80,'307'!$D$82</definedName>
    <definedName name="OSRRefD22x_0" localSheetId="51">'308'!$D$35:$D$44,'308'!$D$46:$D$55,'308'!$D$57,'308'!$D$59,'308'!$D$61,'308'!$D$63,'308'!$D$65:$D$66,'308'!$D$68,'308'!$D$70,'308'!$D$72:$D$74,'308'!$D$76:$D$77,'308'!$D$79:$D$80,'308'!$D$82:$D$83,'308'!$D$85</definedName>
    <definedName name="OSRRefD22x_0" localSheetId="64">'309'!$D$26:$D$27,'309'!$D$29:$D$30,'309'!$D$32,'309'!$D$34,'309'!$D$36,'309'!$D$38,'309'!$D$40,'309'!$D$42,'309'!$D$44:$D$45,'309'!$D$47:$D$48,'309'!$D$50:$D$51,'309'!$D$53,'309'!$D$55</definedName>
    <definedName name="OSRRefD22x_0" localSheetId="63">'310'!$D$29:$D$38,'310'!$D$40:$D$49,'310'!$D$51,'310'!$D$53,'310'!$D$55,'310'!$D$57:$D$58,'310'!$D$60,'310'!$D$62,'310'!$D$64,'310'!$D$66,'310'!$D$68,'310'!$D$70:$D$72,'310'!$D$74,'310'!$D$76:$D$78,'310'!$D$80:$D$84,'310'!$D$86:$D$87,'310'!$D$89,'310'!$D$91</definedName>
    <definedName name="OSRRefD22x_0" localSheetId="69">'310 &amp; 491'!$D$29:$D$38,'310 &amp; 491'!$D$40:$D$49,'310 &amp; 491'!$D$51,'310 &amp; 491'!$D$53,'310 &amp; 491'!$D$55,'310 &amp; 491'!$D$57:$D$58,'310 &amp; 491'!$D$60,'310 &amp; 491'!$D$62,'310 &amp; 491'!$D$64:$D$65,'310 &amp; 491'!$D$67,'310 &amp; 491'!$D$69,'310 &amp; 491'!$D$71,'310 &amp; 491'!$D$73:$D$76,'310 &amp; 491'!$D$78:$D$79,'310 &amp; 491'!$D$81:$D$85,'310 &amp; 491'!$D$87,'310 &amp; 491'!$D$89:$D$98,'310 &amp; 491'!$D$100:$D$101,'310 &amp; 491'!$D$103,'310 &amp; 491'!$D$105:$D$106,'310 &amp; 491'!$D$108</definedName>
    <definedName name="OSRRefD22x_0" localSheetId="52">'311'!$D$35:$D$44,'311'!$D$46:$D$55,'311'!$D$57,'311'!$D$59,'311'!$D$61,'311'!$D$63,'311'!$D$65:$D$66,'311'!$D$68,'311'!$D$70,'311'!$D$72:$D$74,'311'!$D$76:$D$77,'311'!$D$79:$D$80,'311'!$D$82:$D$83,'311'!$D$85</definedName>
    <definedName name="OSRRefD22x_0" localSheetId="57">'315'!$D$44:$D$52,'315'!$D$54:$D$63,'315'!$D$65,'315'!$D$67,'315'!$D$69,'315'!$D$71,'315'!$D$73,'315'!$D$75,'315'!$D$77:$D$78,'315'!$D$80,'315'!$D$82,'315'!$D$84,'315'!$D$86:$D$87,'315'!$D$89:$D$91,'315'!$D$93:$D$94,'315'!$D$96:$D$99,'315'!$D$101,'315'!$D$103,'315'!$D$105</definedName>
    <definedName name="OSRRefD22x_0" localSheetId="60">'316'!$D$27:$D$35,'316'!$D$37:$D$46,'316'!$D$48,'316'!$D$50,'316'!$D$52,'316'!$D$54:$D$55,'316'!$D$57,'316'!$D$59:$D$61,'316'!$D$63,'316'!$D$65:$D$68,'316'!$D$70</definedName>
    <definedName name="OSRRefD22x_0" localSheetId="62">'317'!$D$35:$D$44,'317'!$D$46:$D$55,'317'!$D$57,'317'!$D$59,'317'!$D$61,'317'!$D$63,'317'!$D$65,'317'!$D$67,'317'!$D$69:$D$70,'317'!$D$72</definedName>
    <definedName name="OSRRefD22x_0" localSheetId="65">'321'!$D$24:$D$33,'321'!$D$35:$D$44,'321'!$D$46,'321'!$D$48,'321'!$D$50,'321'!$D$52,'321'!$D$54,'321'!$D$56:$D$57,'321'!$D$59,'321'!$D$61:$D$62,'321'!$D$64:$D$67,'321'!$D$69,'321'!$D$71</definedName>
    <definedName name="OSRRefD22x_0" localSheetId="66">'325'!$D$25:$D$33,'325'!$D$35:$D$44,'325'!$D$46,'325'!$D$48,'325'!$D$50,'325'!$D$52:$D$53,'325'!$D$55,'325'!$D$57,'325'!$D$59,'325'!$D$61,'325'!$D$63,'325'!$D$65:$D$67,'325'!$D$69:$D$71,'325'!$D$73:$D$77,'325'!$D$79:$D$80,'325'!$D$82,'325'!$D$84</definedName>
    <definedName name="OSRRefD22x_0" localSheetId="58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67">'327'!$D$26,'327'!$D$28</definedName>
    <definedName name="OSRRefD22x_0" localSheetId="56">'331'!$D$44:$D$52,'331'!$D$54:$D$63,'331'!$D$65,'331'!$D$67,'331'!$D$69,'331'!$D$71,'331'!$D$73,'331'!$D$75,'331'!$D$77:$D$78,'331'!$D$80:$D$81,'331'!$D$83,'331'!$D$85,'331'!$D$87,'331'!$D$89,'331'!$D$91:$D$92,'331'!$D$94:$D$96,'331'!$D$98:$D$99,'331'!$D$101:$D$102,'331'!$D$104:$D$108,'331'!$D$110,'331'!$D$112,'331'!$D$114:$D$115,'331'!$D$117</definedName>
    <definedName name="OSRRefD22x_0" localSheetId="59">'332'!$D$27:$D$35,'332'!$D$37:$D$46,'332'!$D$48,'332'!$D$50,'332'!$D$52,'332'!$D$54:$D$55,'332'!$D$57,'332'!$D$59:$D$61,'332'!$D$63,'332'!$D$65:$D$68,'332'!$D$70</definedName>
    <definedName name="OSRRefD22x_0" localSheetId="54">'333'!$D$46:$D$54,'333'!$D$56:$D$65,'333'!$D$67,'333'!$D$69,'333'!$D$71,'333'!$D$73:$D$74,'333'!$D$76,'333'!$D$78,'333'!$D$80:$D$81,'333'!$D$83:$D$84,'333'!$D$86,'333'!$D$88,'333'!$D$90,'333'!$D$92,'333'!$D$94:$D$95,'333'!$D$97:$D$99,'333'!$D$101:$D$103,'333'!$D$105:$D$106,'333'!$D$108:$D$113,'333'!$D$115,'333'!$D$117,'333'!$D$119:$D$120,'333'!$D$122</definedName>
    <definedName name="OSRRefD22x_0" localSheetId="71">'405'!$D$27:$D$35,'405'!$D$37:$D$46,'405'!$D$48,'405'!$D$50,'405'!$D$52,'405'!$D$54:$D$55,'405'!$D$57,'405'!$D$59,'405'!$D$61,'405'!$D$63:$D$64,'405'!$D$66:$D$69,'405'!$D$71,'405'!$D$73:$D$80,'405'!$D$82,'405'!$D$84,'405'!$D$86,'405'!$D$88</definedName>
    <definedName name="OSRRefD22x_0" localSheetId="72">'406'!$D$20,'406'!$D$22</definedName>
    <definedName name="OSRRefD22x_0" localSheetId="73">'411'!$D$20:$D$28,'411'!$D$30:$D$39,'411'!$D$41,'411'!$D$43:$D$44,'411'!$D$46,'411'!$D$48,'411'!$D$50,'411'!$D$52,'411'!$D$54:$D$57,'411'!$D$59:$D$61,'411'!$D$63:$D$64,'411'!$D$66,'411'!$D$68,'411'!$D$70:$D$71,'411'!$D$73</definedName>
    <definedName name="OSRRefD22x_0" localSheetId="74">'412'!$D$20,'412'!$D$22,'412'!$D$24,'412'!$D$26</definedName>
    <definedName name="OSRRefD22x_0" localSheetId="75">'413'!$D$20,'413'!$D$22,'413'!$D$24</definedName>
    <definedName name="OSRRefD22x_0" localSheetId="76">'414'!$D$20,'414'!$D$22,'414'!$D$24</definedName>
    <definedName name="OSRRefD22x_0" localSheetId="77">'415'!$D$27:$D$35,'415'!$D$37:$D$46,'415'!$D$48,'415'!$D$50,'415'!$D$52,'415'!$D$54:$D$55,'415'!$D$57,'415'!$D$59,'415'!$D$61,'415'!$D$63,'415'!$D$65,'415'!$D$67:$D$68,'415'!$D$70:$D$73,'415'!$D$75,'415'!$D$77:$D$83,'415'!$D$85:$D$86,'415'!$D$88,'415'!$D$90</definedName>
    <definedName name="OSRRefD22x_0" localSheetId="78">'418'!$D$24:$D$32,'418'!$D$34:$D$43,'418'!$D$45,'418'!$D$47,'418'!$D$49:$D$50,'418'!$D$52,'418'!$D$54,'418'!$D$56:$D$57,'418'!$D$59:$D$60,'418'!$D$62:$D$65,'418'!$D$67,'418'!$D$69:$D$76,'418'!$D$78:$D$79,'418'!$D$81,'418'!$D$83</definedName>
    <definedName name="OSRRefD22x_0" localSheetId="79">'423'!$D$20:$D$27,'423'!$D$29:$D$38,'423'!$D$40,'423'!$D$42,'423'!$D$44,'423'!$D$46</definedName>
    <definedName name="OSRRefD22x_0" localSheetId="80">'424'!$D$20,'424'!$D$22,'424'!$D$24</definedName>
    <definedName name="OSRRefD22x_0" localSheetId="81">'425'!$D$22,'425'!$D$24,'425'!$D$26,'425'!$D$28,'425'!$D$30,'425'!$D$32</definedName>
    <definedName name="OSRRefD22x_0" localSheetId="83">'430'!$D$20:$D$28,'430'!$D$30:$D$39,'430'!$D$41,'430'!$D$43,'430'!$D$45,'430'!$D$47:$D$48,'430'!$D$50:$D$51,'430'!$D$53,'430'!$D$55</definedName>
    <definedName name="OSRRefD22x_0" localSheetId="84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85">'435'!$D$20</definedName>
    <definedName name="OSRRefD22x_0" localSheetId="86">'444'!$D$27:$D$36,'444'!$D$38:$D$47,'444'!$D$49,'444'!$D$51,'444'!$D$53,'444'!$D$55,'444'!$D$57,'444'!$D$59,'444'!$D$61,'444'!$D$63,'444'!$D$65,'444'!$D$67:$D$68,'444'!$D$70:$D$73,'444'!$D$75,'444'!$D$77:$D$85,'444'!$D$87,'444'!$D$89</definedName>
    <definedName name="OSRRefD22x_0" localSheetId="87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0">'491'!$D$28:$D$36,'491'!$D$38:$D$47,'491'!$D$49,'491'!$D$51,'491'!$D$53,'491'!$D$55:$D$56,'491'!$D$58,'491'!$D$60,'491'!$D$62:$D$63,'491'!$D$65,'491'!$D$67,'491'!$D$69,'491'!$D$71:$D$74,'491'!$D$76,'491'!$D$78:$D$82,'491'!$D$84,'491'!$D$86:$D$95,'491'!$D$97:$D$98,'491'!$D$100,'491'!$D$102:$D$103,'491'!$D$105</definedName>
    <definedName name="OSRRefD22x_0" localSheetId="82">'492'!$D$27:$D$36,'492'!$D$38:$D$47,'492'!$D$49,'492'!$D$51,'492'!$D$53,'492'!$D$55,'492'!$D$57,'492'!$D$59,'492'!$D$61,'492'!$D$63,'492'!$D$65,'492'!$D$67,'492'!$D$69:$D$71,'492'!$D$73:$D$76,'492'!$D$78,'492'!$D$80:$D$88,'492'!$D$90:$D$91,'492'!$D$93,'492'!$D$95:$D$96</definedName>
    <definedName name="OSRRefD22x_0" localSheetId="89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2'!$D$77:$D$78,'Div 2'!$D$80:$D$85,'Div 2'!$D$87:$D$88,'Div 2'!$D$90,'Div 2'!$D$92:$D$93</definedName>
    <definedName name="OSRRefD22x_0" localSheetId="47">'Div 3'!$D$60:$D$69,'Div 3'!$D$71:$D$80,'Div 3'!$D$82,'Div 3'!$D$84,'Div 3'!$D$86,'Div 3'!$D$88:$D$89,'Div 3'!$D$91:$D$92,'Div 3'!$D$94,'Div 3'!$D$96,'Div 3'!$D$98,'Div 3'!$D$100:$D$101,'Div 3'!$D$103:$D$104,'Div 3'!$D$106,'Div 3'!$D$108,'Div 3'!$D$110,'Div 3'!$D$112,'Div 3'!$D$114,'Div 3'!$D$116:$D$119,'Div 3'!$D$121:$D$124,'Div 3'!$D$126:$D$129,'Div 3'!$D$131:$D$132,'Div 3'!$D$134:$D$140,'Div 3'!$D$142:$D$143,'Div 3'!$D$145,'Div 3'!$D$147:$D$149,'Div 3'!$D$151</definedName>
    <definedName name="OSRRefD22x_0" localSheetId="68">'Div 4'!$D$29:$D$38,'Div 4'!$D$40:$D$49,'Div 4'!$D$51,'Div 4'!$D$53,'Div 4'!$D$55,'Div 4'!$D$57:$D$58,'Div 4'!$D$60,'Div 4'!$D$62,'Div 4'!$D$64,'Div 4'!$D$66:$D$67,'Div 4'!$D$69,'Div 4'!$D$71,'Div 4'!$D$73,'Div 4'!$D$75,'Div 4'!$D$77:$D$80,'Div 4'!$D$82,'Div 4'!$D$84:$D$88,'Div 4'!$D$90:$D$91,'Div 4'!$D$93:$D$102,'Div 4'!$D$104:$D$105,'Div 4'!$D$107,'Div 4'!$D$109:$D$110,'Div 4'!$D$112</definedName>
    <definedName name="OSRRefD22x_0" localSheetId="88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1">'Div 6'!$D$35:$D$44,'Div 6'!$D$46:$D$55,'Div 6'!$D$57,'Div 6'!$D$59,'Div 6'!$D$61,'Div 6'!$D$63,'Div 6'!$D$65,'Div 6'!$D$67,'Div 6'!$D$69:$D$70,'Div 6'!$D$72</definedName>
    <definedName name="OSRRefD22x_0" localSheetId="2">Summary!$D$66:$D$75,Summary!$D$77:$D$86,Summary!$D$88,Summary!$D$90,Summary!$D$92,Summary!$D$94:$D$95,Summary!$D$97:$D$98,Summary!$D$100,Summary!$D$102,Summary!$D$104,Summary!$D$106:$D$107,Summary!$D$109:$D$111,Summary!$D$113,Summary!$D$115,Summary!$D$117,Summary!$D$119,Summary!$D$121,Summary!$D$123,Summary!$D$125:$D$128,Summary!$D$130:$D$133,Summary!$D$135:$D$139,Summary!$D$141:$D$142,Summary!$D$144:$D$153,Summary!$D$155:$D$156,Summary!$D$158,Summary!$D$160:$D$162,Summary!$D$164</definedName>
    <definedName name="OSRRefD25x_0" localSheetId="48">'300'!$D$145:$D$149</definedName>
    <definedName name="OSRRefD25x_0" localSheetId="49">'300 &amp; 317'!$D$151:$D$157</definedName>
    <definedName name="OSRRefD25x_0" localSheetId="50">'301'!$D$98:$D$99</definedName>
    <definedName name="OSRRefD25x_0" localSheetId="51">'308'!$D$88:$D$91</definedName>
    <definedName name="OSRRefD25x_0" localSheetId="69">'310 &amp; 491'!$D$111:$D$114</definedName>
    <definedName name="OSRRefD25x_0" localSheetId="52">'311'!$D$88:$D$91</definedName>
    <definedName name="OSRRefD25x_0" localSheetId="57">'315'!$D$108:$D$110</definedName>
    <definedName name="OSRRefD25x_0" localSheetId="60">'316'!$D$73</definedName>
    <definedName name="OSRRefD25x_0" localSheetId="62">'317'!$D$75:$D$77</definedName>
    <definedName name="OSRRefD25x_0" localSheetId="56">'331'!$D$120:$D$122</definedName>
    <definedName name="OSRRefD25x_0" localSheetId="59">'332'!$D$73</definedName>
    <definedName name="OSRRefD25x_0" localSheetId="54">'333'!$D$125:$D$127</definedName>
    <definedName name="OSRRefD25x_0" localSheetId="71">'405'!$D$91</definedName>
    <definedName name="OSRRefD25x_0" localSheetId="73">'411'!$D$76</definedName>
    <definedName name="OSRRefD25x_0" localSheetId="77">'415'!$D$93</definedName>
    <definedName name="OSRRefD25x_0" localSheetId="78">'418'!$D$86</definedName>
    <definedName name="OSRRefD25x_0" localSheetId="79">'423'!$D$49:$D$51</definedName>
    <definedName name="OSRRefD25x_0" localSheetId="70">'491'!$D$108:$D$111</definedName>
    <definedName name="OSRRefD25x_0" localSheetId="89">'501'!$D$73</definedName>
    <definedName name="OSRRefD25x_0" localSheetId="47">'Div 3'!$D$154:$D$158</definedName>
    <definedName name="OSRRefD25x_0" localSheetId="68">'Div 4'!$D$115:$D$118</definedName>
    <definedName name="OSRRefD25x_0" localSheetId="88">'Div 5'!$D$73</definedName>
    <definedName name="OSRRefD25x_0" localSheetId="61">'Div 6'!$D$75:$D$77</definedName>
    <definedName name="OSRRefD25x_0" localSheetId="2">Summary!$D$167:$D$174</definedName>
    <definedName name="OSRRefH13x_0" localSheetId="48">'300'!$H$13:$H$19</definedName>
    <definedName name="OSRRefH13x_0" localSheetId="49">'300 &amp; 317'!$H$13:$H$19</definedName>
    <definedName name="OSRRefH13x_0" localSheetId="55">'307'!$H$13:$H$16</definedName>
    <definedName name="OSRRefH13x_0" localSheetId="51">'308'!$H$13:$H$17</definedName>
    <definedName name="OSRRefH13x_0" localSheetId="64">'309'!$H$13:$H$16</definedName>
    <definedName name="OSRRefH13x_0" localSheetId="63">'310'!$H$13:$H$18</definedName>
    <definedName name="OSRRefH13x_0" localSheetId="69">'310 &amp; 491'!$H$13:$H$18</definedName>
    <definedName name="OSRRefH13x_0" localSheetId="52">'311'!$H$13:$H$17</definedName>
    <definedName name="OSRRefH13x_0" localSheetId="57">'315'!$H$13:$H$17</definedName>
    <definedName name="OSRRefH13x_0" localSheetId="60">'316'!$H$13:$H$17</definedName>
    <definedName name="OSRRefH13x_0" localSheetId="62">'317'!$H$13:$H$17</definedName>
    <definedName name="OSRRefH13x_0" localSheetId="65">'321'!$H$13:$H$14</definedName>
    <definedName name="OSRRefH13x_0" localSheetId="53">'324'!$H$13:$H$14</definedName>
    <definedName name="OSRRefH13x_0" localSheetId="66">'325'!$H$13:$H$14</definedName>
    <definedName name="OSRRefH13x_0" localSheetId="58">'326'!$H$13:$H$16</definedName>
    <definedName name="OSRRefH13x_0" localSheetId="67">'327'!$H$13:$H$15</definedName>
    <definedName name="OSRRefH13x_0" localSheetId="56">'331'!$H$13:$H$17</definedName>
    <definedName name="OSRRefH13x_0" localSheetId="59">'332'!$H$13:$H$17</definedName>
    <definedName name="OSRRefH13x_0" localSheetId="54">'333'!$H$13:$H$17</definedName>
    <definedName name="OSRRefH13x_0" localSheetId="71">'405'!$H$13:$H$16</definedName>
    <definedName name="OSRRefH13x_0" localSheetId="77">'415'!$H$13:$H$16</definedName>
    <definedName name="OSRRefH13x_0" localSheetId="78">'418'!$H$13:$H$14</definedName>
    <definedName name="OSRRefH13x_0" localSheetId="81">'425'!$H$13</definedName>
    <definedName name="OSRRefH13x_0" localSheetId="84">'433'!$H$13:$H$16</definedName>
    <definedName name="OSRRefH13x_0" localSheetId="86">'444'!$H$13:$H$16</definedName>
    <definedName name="OSRRefH13x_0" localSheetId="87">'450'!$H$13:$H$16</definedName>
    <definedName name="OSRRefH13x_0" localSheetId="70">'491'!$H$13:$H$17</definedName>
    <definedName name="OSRRefH13x_0" localSheetId="82">'492'!$H$13:$H$16</definedName>
    <definedName name="OSRRefH13x_0" localSheetId="89">'501'!$H$13</definedName>
    <definedName name="OSRRefH13x_0" localSheetId="47">'Div 3'!$H$13:$H$23</definedName>
    <definedName name="OSRRefH13x_0" localSheetId="68">'Div 4'!$H$13:$H$18</definedName>
    <definedName name="OSRRefH13x_0" localSheetId="88">'Div 5'!$H$13</definedName>
    <definedName name="OSRRefH13x_0" localSheetId="61">'Div 6'!$H$13:$H$17</definedName>
    <definedName name="OSRRefH13x_0" localSheetId="2">Summary!$H$13:$H$23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5">'307'!$H$19:$H$28</definedName>
    <definedName name="OSRRefH16x_0" localSheetId="51">'308'!$H$20:$H$29</definedName>
    <definedName name="OSRRefH16x_0" localSheetId="64">'309'!$H$19:$H$20</definedName>
    <definedName name="OSRRefH16x_0" localSheetId="63">'310'!$H$21:$H$23</definedName>
    <definedName name="OSRRefH16x_0" localSheetId="69">'310 &amp; 491'!$H$21:$H$23</definedName>
    <definedName name="OSRRefH16x_0" localSheetId="52">'311'!$H$20:$H$29</definedName>
    <definedName name="OSRRefH16x_0" localSheetId="57">'315'!$H$20:$H$38</definedName>
    <definedName name="OSRRefH16x_0" localSheetId="60">'316'!$H$20:$H$21</definedName>
    <definedName name="OSRRefH16x_0" localSheetId="62">'317'!$H$20:$H$29</definedName>
    <definedName name="OSRRefH16x_0" localSheetId="65">'321'!$H$17:$H$18</definedName>
    <definedName name="OSRRefH16x_0" localSheetId="53">'324'!$H$17</definedName>
    <definedName name="OSRRefH16x_0" localSheetId="66">'325'!$H$17:$H$19</definedName>
    <definedName name="OSRRefH16x_0" localSheetId="58">'326'!$H$19:$H$22</definedName>
    <definedName name="OSRRefH16x_0" localSheetId="67">'327'!$H$18:$H$20</definedName>
    <definedName name="OSRRefH16x_0" localSheetId="56">'331'!$H$20:$H$38</definedName>
    <definedName name="OSRRefH16x_0" localSheetId="59">'332'!$H$20:$H$21</definedName>
    <definedName name="OSRRefH16x_0" localSheetId="54">'333'!$H$20:$H$40</definedName>
    <definedName name="OSRRefH16x_0" localSheetId="71">'405'!$H$19:$H$21</definedName>
    <definedName name="OSRRefH16x_0" localSheetId="77">'415'!$H$19:$H$21</definedName>
    <definedName name="OSRRefH16x_0" localSheetId="78">'418'!$H$17:$H$18</definedName>
    <definedName name="OSRRefH16x_0" localSheetId="81">'425'!$H$16</definedName>
    <definedName name="OSRRefH16x_0" localSheetId="84">'433'!$H$19:$H$21</definedName>
    <definedName name="OSRRefH16x_0" localSheetId="86">'444'!$H$19:$H$21</definedName>
    <definedName name="OSRRefH16x_0" localSheetId="87">'450'!$H$19:$H$21</definedName>
    <definedName name="OSRRefH16x_0" localSheetId="70">'491'!$H$20:$H$22</definedName>
    <definedName name="OSRRefH16x_0" localSheetId="82">'492'!$H$19:$H$21</definedName>
    <definedName name="OSRRefH16x_0" localSheetId="47">'Div 3'!$H$26:$H$54</definedName>
    <definedName name="OSRRefH16x_0" localSheetId="68">'Div 4'!$H$21:$H$23</definedName>
    <definedName name="OSRRefH16x_0" localSheetId="61">'Div 6'!$H$20:$H$29</definedName>
    <definedName name="OSRRefH16x_0" localSheetId="2">Summary!$H$26:$H$60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5">'307'!$H$34:$H$41</definedName>
    <definedName name="OSRRefH22_0x_0" localSheetId="51">'308'!$H$35:$H$44</definedName>
    <definedName name="OSRRefH22_0x_0" localSheetId="64">'309'!$H$26:$H$27</definedName>
    <definedName name="OSRRefH22_0x_0" localSheetId="63">'310'!$H$29:$H$38</definedName>
    <definedName name="OSRRefH22_0x_0" localSheetId="69">'310 &amp; 491'!$H$29:$H$38</definedName>
    <definedName name="OSRRefH22_0x_0" localSheetId="52">'311'!$H$35:$H$44</definedName>
    <definedName name="OSRRefH22_0x_0" localSheetId="57">'315'!$H$44:$H$52</definedName>
    <definedName name="OSRRefH22_0x_0" localSheetId="60">'316'!$H$27:$H$35</definedName>
    <definedName name="OSRRefH22_0x_0" localSheetId="62">'317'!$H$35:$H$44</definedName>
    <definedName name="OSRRefH22_0x_0" localSheetId="65">'321'!$H$24:$H$33</definedName>
    <definedName name="OSRRefH22_0x_0" localSheetId="66">'325'!$H$25:$H$33</definedName>
    <definedName name="OSRRefH22_0x_0" localSheetId="58">'326'!$H$28:$H$36</definedName>
    <definedName name="OSRRefH22_0x_0" localSheetId="67">'327'!$H$26</definedName>
    <definedName name="OSRRefH22_0x_0" localSheetId="56">'331'!$H$44:$H$52</definedName>
    <definedName name="OSRRefH22_0x_0" localSheetId="59">'332'!$H$27:$H$35</definedName>
    <definedName name="OSRRefH22_0x_0" localSheetId="54">'333'!$H$46:$H$54</definedName>
    <definedName name="OSRRefH22_0x_0" localSheetId="71">'405'!$H$27:$H$35</definedName>
    <definedName name="OSRRefH22_0x_0" localSheetId="72">'406'!$H$20</definedName>
    <definedName name="OSRRefH22_0x_0" localSheetId="73">'411'!$H$20:$H$28</definedName>
    <definedName name="OSRRefH22_0x_0" localSheetId="74">'412'!$H$20</definedName>
    <definedName name="OSRRefH22_0x_0" localSheetId="75">'413'!$H$20</definedName>
    <definedName name="OSRRefH22_0x_0" localSheetId="76">'414'!$H$20</definedName>
    <definedName name="OSRRefH22_0x_0" localSheetId="77">'415'!$H$27:$H$35</definedName>
    <definedName name="OSRRefH22_0x_0" localSheetId="78">'418'!$H$24:$H$32</definedName>
    <definedName name="OSRRefH22_0x_0" localSheetId="79">'423'!$H$20:$H$27</definedName>
    <definedName name="OSRRefH22_0x_0" localSheetId="80">'424'!$H$20</definedName>
    <definedName name="OSRRefH22_0x_0" localSheetId="81">'425'!$H$22</definedName>
    <definedName name="OSRRefH22_0x_0" localSheetId="83">'430'!$H$20:$H$28</definedName>
    <definedName name="OSRRefH22_0x_0" localSheetId="84">'433'!$H$27:$H$36</definedName>
    <definedName name="OSRRefH22_0x_0" localSheetId="85">'435'!$H$20</definedName>
    <definedName name="OSRRefH22_0x_0" localSheetId="86">'444'!$H$27:$H$36</definedName>
    <definedName name="OSRRefH22_0x_0" localSheetId="87">'450'!$H$27:$H$36</definedName>
    <definedName name="OSRRefH22_0x_0" localSheetId="70">'491'!$H$28:$H$36</definedName>
    <definedName name="OSRRefH22_0x_0" localSheetId="82">'492'!$H$27:$H$36</definedName>
    <definedName name="OSRRefH22_0x_0" localSheetId="89">'501'!$H$21:$H$30</definedName>
    <definedName name="OSRRefH22_0x_0" localSheetId="39">'Div 2'!$H$20:$H$30</definedName>
    <definedName name="OSRRefH22_0x_0" localSheetId="47">'Div 3'!$H$60:$H$69</definedName>
    <definedName name="OSRRefH22_0x_0" localSheetId="68">'Div 4'!$H$29:$H$38</definedName>
    <definedName name="OSRRefH22_0x_0" localSheetId="88">'Div 5'!$H$21:$H$30</definedName>
    <definedName name="OSRRefH22_0x_0" localSheetId="61">'Div 6'!$H$35:$H$44</definedName>
    <definedName name="OSRRefH22_0x_0" localSheetId="2">Summary!$H$66:$H$75</definedName>
    <definedName name="OSRRefH22_10x_0" localSheetId="41">'201'!$H$59:$H$60</definedName>
    <definedName name="OSRRefH22_10x_0" localSheetId="42">'202'!$H$59</definedName>
    <definedName name="OSRRefH22_10x_0" localSheetId="43">'203'!$H$61:$H$62</definedName>
    <definedName name="OSRRefH22_10x_0" localSheetId="44">'204'!$H$63</definedName>
    <definedName name="OSRRefH22_10x_0" localSheetId="48">'300'!$H$94:$H$95</definedName>
    <definedName name="OSRRefH22_10x_0" localSheetId="49">'300 &amp; 317'!$H$100:$H$101</definedName>
    <definedName name="OSRRefH22_10x_0" localSheetId="50">'301'!$H$61</definedName>
    <definedName name="OSRRefH22_10x_0" localSheetId="55">'307'!$H$72:$H$73</definedName>
    <definedName name="OSRRefH22_10x_0" localSheetId="51">'308'!$H$76:$H$77</definedName>
    <definedName name="OSRRefH22_10x_0" localSheetId="64">'309'!$H$50:$H$51</definedName>
    <definedName name="OSRRefH22_10x_0" localSheetId="63">'310'!$H$68</definedName>
    <definedName name="OSRRefH22_10x_0" localSheetId="69">'310 &amp; 491'!$H$69</definedName>
    <definedName name="OSRRefH22_10x_0" localSheetId="52">'311'!$H$76:$H$77</definedName>
    <definedName name="OSRRefH22_10x_0" localSheetId="57">'315'!$H$82</definedName>
    <definedName name="OSRRefH22_10x_0" localSheetId="60">'316'!$H$70</definedName>
    <definedName name="OSRRefH22_10x_0" localSheetId="65">'321'!$H$64:$H$67</definedName>
    <definedName name="OSRRefH22_10x_0" localSheetId="66">'325'!$H$63</definedName>
    <definedName name="OSRRefH22_10x_0" localSheetId="58">'326'!$H$66</definedName>
    <definedName name="OSRRefH22_10x_0" localSheetId="56">'331'!$H$83</definedName>
    <definedName name="OSRRefH22_10x_0" localSheetId="59">'332'!$H$70</definedName>
    <definedName name="OSRRefH22_10x_0" localSheetId="54">'333'!$H$86</definedName>
    <definedName name="OSRRefH22_10x_0" localSheetId="71">'405'!$H$66:$H$69</definedName>
    <definedName name="OSRRefH22_10x_0" localSheetId="73">'411'!$H$63:$H$64</definedName>
    <definedName name="OSRRefH22_10x_0" localSheetId="77">'415'!$H$65</definedName>
    <definedName name="OSRRefH22_10x_0" localSheetId="78">'418'!$H$67</definedName>
    <definedName name="OSRRefH22_10x_0" localSheetId="84">'433'!$H$65</definedName>
    <definedName name="OSRRefH22_10x_0" localSheetId="86">'444'!$H$65</definedName>
    <definedName name="OSRRefH22_10x_0" localSheetId="87">'450'!$H$65</definedName>
    <definedName name="OSRRefH22_10x_0" localSheetId="70">'491'!$H$67</definedName>
    <definedName name="OSRRefH22_10x_0" localSheetId="82">'492'!$H$65</definedName>
    <definedName name="OSRRefH22_10x_0" localSheetId="89">'501'!$H$62</definedName>
    <definedName name="OSRRefH22_10x_0" localSheetId="39">'Div 2'!$H$60</definedName>
    <definedName name="OSRRefH22_10x_0" localSheetId="47">'Div 3'!$H$100:$H$101</definedName>
    <definedName name="OSRRefH22_10x_0" localSheetId="68">'Div 4'!$H$69</definedName>
    <definedName name="OSRRefH22_10x_0" localSheetId="88">'Div 5'!$H$62</definedName>
    <definedName name="OSRRefH22_10x_0" localSheetId="2">Summary!$H$106:$H$107</definedName>
    <definedName name="OSRRefH22_11x_0" localSheetId="41">'201'!$H$62</definedName>
    <definedName name="OSRRefH22_11x_0" localSheetId="42">'202'!$H$61</definedName>
    <definedName name="OSRRefH22_11x_0" localSheetId="43">'203'!$H$64:$H$67</definedName>
    <definedName name="OSRRefH22_11x_0" localSheetId="48">'300'!$H$97:$H$98</definedName>
    <definedName name="OSRRefH22_11x_0" localSheetId="49">'300 &amp; 317'!$H$103:$H$104</definedName>
    <definedName name="OSRRefH22_11x_0" localSheetId="50">'301'!$H$63</definedName>
    <definedName name="OSRRefH22_11x_0" localSheetId="55">'307'!$H$75</definedName>
    <definedName name="OSRRefH22_11x_0" localSheetId="51">'308'!$H$79:$H$80</definedName>
    <definedName name="OSRRefH22_11x_0" localSheetId="64">'309'!$H$53</definedName>
    <definedName name="OSRRefH22_11x_0" localSheetId="63">'310'!$H$70:$H$72</definedName>
    <definedName name="OSRRefH22_11x_0" localSheetId="69">'310 &amp; 491'!$H$71</definedName>
    <definedName name="OSRRefH22_11x_0" localSheetId="52">'311'!$H$79:$H$80</definedName>
    <definedName name="OSRRefH22_11x_0" localSheetId="57">'315'!$H$84</definedName>
    <definedName name="OSRRefH22_11x_0" localSheetId="65">'321'!$H$69</definedName>
    <definedName name="OSRRefH22_11x_0" localSheetId="66">'325'!$H$65:$H$67</definedName>
    <definedName name="OSRRefH22_11x_0" localSheetId="58">'326'!$H$68:$H$69</definedName>
    <definedName name="OSRRefH22_11x_0" localSheetId="56">'331'!$H$85</definedName>
    <definedName name="OSRRefH22_11x_0" localSheetId="54">'333'!$H$88</definedName>
    <definedName name="OSRRefH22_11x_0" localSheetId="71">'405'!$H$71</definedName>
    <definedName name="OSRRefH22_11x_0" localSheetId="73">'411'!$H$66</definedName>
    <definedName name="OSRRefH22_11x_0" localSheetId="77">'415'!$H$67:$H$68</definedName>
    <definedName name="OSRRefH22_11x_0" localSheetId="78">'418'!$H$69:$H$76</definedName>
    <definedName name="OSRRefH22_11x_0" localSheetId="84">'433'!$H$67:$H$69</definedName>
    <definedName name="OSRRefH22_11x_0" localSheetId="86">'444'!$H$67:$H$68</definedName>
    <definedName name="OSRRefH22_11x_0" localSheetId="87">'450'!$H$67:$H$69</definedName>
    <definedName name="OSRRefH22_11x_0" localSheetId="70">'491'!$H$69</definedName>
    <definedName name="OSRRefH22_11x_0" localSheetId="82">'492'!$H$67</definedName>
    <definedName name="OSRRefH22_11x_0" localSheetId="89">'501'!$H$64:$H$66</definedName>
    <definedName name="OSRRefH22_11x_0" localSheetId="39">'Div 2'!$H$62</definedName>
    <definedName name="OSRRefH22_11x_0" localSheetId="47">'Div 3'!$H$103:$H$104</definedName>
    <definedName name="OSRRefH22_11x_0" localSheetId="68">'Div 4'!$H$71</definedName>
    <definedName name="OSRRefH22_11x_0" localSheetId="88">'Div 5'!$H$64:$H$66</definedName>
    <definedName name="OSRRefH22_11x_0" localSheetId="2">Summary!$H$109:$H$111</definedName>
    <definedName name="OSRRefH22_12x_0" localSheetId="41">'201'!$H$64:$H$65</definedName>
    <definedName name="OSRRefH22_12x_0" localSheetId="42">'202'!$H$63</definedName>
    <definedName name="OSRRefH22_12x_0" localSheetId="43">'203'!$H$69</definedName>
    <definedName name="OSRRefH22_12x_0" localSheetId="48">'300'!$H$100</definedName>
    <definedName name="OSRRefH22_12x_0" localSheetId="49">'300 &amp; 317'!$H$106</definedName>
    <definedName name="OSRRefH22_12x_0" localSheetId="50">'301'!$H$65</definedName>
    <definedName name="OSRRefH22_12x_0" localSheetId="55">'307'!$H$77:$H$80</definedName>
    <definedName name="OSRRefH22_12x_0" localSheetId="51">'308'!$H$82:$H$83</definedName>
    <definedName name="OSRRefH22_12x_0" localSheetId="64">'309'!$H$55</definedName>
    <definedName name="OSRRefH22_12x_0" localSheetId="63">'310'!$H$74</definedName>
    <definedName name="OSRRefH22_12x_0" localSheetId="69">'310 &amp; 491'!$H$73:$H$76</definedName>
    <definedName name="OSRRefH22_12x_0" localSheetId="52">'311'!$H$82:$H$83</definedName>
    <definedName name="OSRRefH22_12x_0" localSheetId="57">'315'!$H$86:$H$87</definedName>
    <definedName name="OSRRefH22_12x_0" localSheetId="65">'321'!$H$71</definedName>
    <definedName name="OSRRefH22_12x_0" localSheetId="66">'325'!$H$69:$H$71</definedName>
    <definedName name="OSRRefH22_12x_0" localSheetId="58">'326'!$H$71:$H$72</definedName>
    <definedName name="OSRRefH22_12x_0" localSheetId="56">'331'!$H$87</definedName>
    <definedName name="OSRRefH22_12x_0" localSheetId="54">'333'!$H$90</definedName>
    <definedName name="OSRRefH22_12x_0" localSheetId="71">'405'!$H$73:$H$80</definedName>
    <definedName name="OSRRefH22_12x_0" localSheetId="73">'411'!$H$68</definedName>
    <definedName name="OSRRefH22_12x_0" localSheetId="77">'415'!$H$70:$H$73</definedName>
    <definedName name="OSRRefH22_12x_0" localSheetId="78">'418'!$H$78:$H$79</definedName>
    <definedName name="OSRRefH22_12x_0" localSheetId="84">'433'!$H$71:$H$74</definedName>
    <definedName name="OSRRefH22_12x_0" localSheetId="86">'444'!$H$70:$H$73</definedName>
    <definedName name="OSRRefH22_12x_0" localSheetId="87">'450'!$H$71:$H$74</definedName>
    <definedName name="OSRRefH22_12x_0" localSheetId="70">'491'!$H$71:$H$74</definedName>
    <definedName name="OSRRefH22_12x_0" localSheetId="82">'492'!$H$69:$H$71</definedName>
    <definedName name="OSRRefH22_12x_0" localSheetId="89">'501'!$H$68</definedName>
    <definedName name="OSRRefH22_12x_0" localSheetId="39">'Div 2'!$H$64:$H$67</definedName>
    <definedName name="OSRRefH22_12x_0" localSheetId="47">'Div 3'!$H$106</definedName>
    <definedName name="OSRRefH22_12x_0" localSheetId="68">'Div 4'!$H$73</definedName>
    <definedName name="OSRRefH22_12x_0" localSheetId="88">'Div 5'!$H$68</definedName>
    <definedName name="OSRRefH22_12x_0" localSheetId="2">Summary!$H$113</definedName>
    <definedName name="OSRRefH22_13x_0" localSheetId="41">'201'!$H$67</definedName>
    <definedName name="OSRRefH22_13x_0" localSheetId="43">'203'!$H$71</definedName>
    <definedName name="OSRRefH22_13x_0" localSheetId="48">'300'!$H$102</definedName>
    <definedName name="OSRRefH22_13x_0" localSheetId="49">'300 &amp; 317'!$H$108</definedName>
    <definedName name="OSRRefH22_13x_0" localSheetId="50">'301'!$H$67</definedName>
    <definedName name="OSRRefH22_13x_0" localSheetId="55">'307'!$H$82</definedName>
    <definedName name="OSRRefH22_13x_0" localSheetId="51">'308'!$H$85</definedName>
    <definedName name="OSRRefH22_13x_0" localSheetId="63">'310'!$H$76:$H$78</definedName>
    <definedName name="OSRRefH22_13x_0" localSheetId="69">'310 &amp; 491'!$H$78:$H$79</definedName>
    <definedName name="OSRRefH22_13x_0" localSheetId="52">'311'!$H$85</definedName>
    <definedName name="OSRRefH22_13x_0" localSheetId="57">'315'!$H$89:$H$91</definedName>
    <definedName name="OSRRefH22_13x_0" localSheetId="66">'325'!$H$73:$H$77</definedName>
    <definedName name="OSRRefH22_13x_0" localSheetId="58">'326'!$H$74:$H$75</definedName>
    <definedName name="OSRRefH22_13x_0" localSheetId="56">'331'!$H$89</definedName>
    <definedName name="OSRRefH22_13x_0" localSheetId="54">'333'!$H$92</definedName>
    <definedName name="OSRRefH22_13x_0" localSheetId="71">'405'!$H$82</definedName>
    <definedName name="OSRRefH22_13x_0" localSheetId="73">'411'!$H$70:$H$71</definedName>
    <definedName name="OSRRefH22_13x_0" localSheetId="77">'415'!$H$75</definedName>
    <definedName name="OSRRefH22_13x_0" localSheetId="78">'418'!$H$81</definedName>
    <definedName name="OSRRefH22_13x_0" localSheetId="84">'433'!$H$76:$H$83</definedName>
    <definedName name="OSRRefH22_13x_0" localSheetId="86">'444'!$H$75</definedName>
    <definedName name="OSRRefH22_13x_0" localSheetId="87">'450'!$H$76:$H$82</definedName>
    <definedName name="OSRRefH22_13x_0" localSheetId="70">'491'!$H$76</definedName>
    <definedName name="OSRRefH22_13x_0" localSheetId="82">'492'!$H$73:$H$76</definedName>
    <definedName name="OSRRefH22_13x_0" localSheetId="89">'501'!$H$70</definedName>
    <definedName name="OSRRefH22_13x_0" localSheetId="39">'Div 2'!$H$69:$H$72</definedName>
    <definedName name="OSRRefH22_13x_0" localSheetId="47">'Div 3'!$H$108</definedName>
    <definedName name="OSRRefH22_13x_0" localSheetId="68">'Div 4'!$H$75</definedName>
    <definedName name="OSRRefH22_13x_0" localSheetId="88">'Div 5'!$H$70</definedName>
    <definedName name="OSRRefH22_13x_0" localSheetId="2">Summary!$H$115</definedName>
    <definedName name="OSRRefH22_14x_0" localSheetId="41">'201'!$H$69</definedName>
    <definedName name="OSRRefH22_14x_0" localSheetId="43">'203'!$H$73</definedName>
    <definedName name="OSRRefH22_14x_0" localSheetId="48">'300'!$H$104</definedName>
    <definedName name="OSRRefH22_14x_0" localSheetId="49">'300 &amp; 317'!$H$110</definedName>
    <definedName name="OSRRefH22_14x_0" localSheetId="50">'301'!$H$69</definedName>
    <definedName name="OSRRefH22_14x_0" localSheetId="63">'310'!$H$80:$H$84</definedName>
    <definedName name="OSRRefH22_14x_0" localSheetId="69">'310 &amp; 491'!$H$81:$H$85</definedName>
    <definedName name="OSRRefH22_14x_0" localSheetId="57">'315'!$H$93:$H$94</definedName>
    <definedName name="OSRRefH22_14x_0" localSheetId="66">'325'!$H$79:$H$80</definedName>
    <definedName name="OSRRefH22_14x_0" localSheetId="58">'326'!$H$77:$H$79</definedName>
    <definedName name="OSRRefH22_14x_0" localSheetId="56">'331'!$H$91:$H$92</definedName>
    <definedName name="OSRRefH22_14x_0" localSheetId="54">'333'!$H$94:$H$95</definedName>
    <definedName name="OSRRefH22_14x_0" localSheetId="71">'405'!$H$84</definedName>
    <definedName name="OSRRefH22_14x_0" localSheetId="73">'411'!$H$73</definedName>
    <definedName name="OSRRefH22_14x_0" localSheetId="77">'415'!$H$77:$H$83</definedName>
    <definedName name="OSRRefH22_14x_0" localSheetId="78">'418'!$H$83</definedName>
    <definedName name="OSRRefH22_14x_0" localSheetId="84">'433'!$H$85</definedName>
    <definedName name="OSRRefH22_14x_0" localSheetId="86">'444'!$H$77:$H$85</definedName>
    <definedName name="OSRRefH22_14x_0" localSheetId="87">'450'!$H$84</definedName>
    <definedName name="OSRRefH22_14x_0" localSheetId="70">'491'!$H$78:$H$82</definedName>
    <definedName name="OSRRefH22_14x_0" localSheetId="82">'492'!$H$78</definedName>
    <definedName name="OSRRefH22_14x_0" localSheetId="39">'Div 2'!$H$74:$H$75</definedName>
    <definedName name="OSRRefH22_14x_0" localSheetId="47">'Div 3'!$H$110</definedName>
    <definedName name="OSRRefH22_14x_0" localSheetId="68">'Div 4'!$H$77:$H$80</definedName>
    <definedName name="OSRRefH22_14x_0" localSheetId="2">Summary!$H$117</definedName>
    <definedName name="OSRRefH22_15x_0" localSheetId="41">'201'!$H$71</definedName>
    <definedName name="OSRRefH22_15x_0" localSheetId="48">'300'!$H$106</definedName>
    <definedName name="OSRRefH22_15x_0" localSheetId="49">'300 &amp; 317'!$H$112</definedName>
    <definedName name="OSRRefH22_15x_0" localSheetId="50">'301'!$H$71:$H$74</definedName>
    <definedName name="OSRRefH22_15x_0" localSheetId="63">'310'!$H$86:$H$87</definedName>
    <definedName name="OSRRefH22_15x_0" localSheetId="69">'310 &amp; 491'!$H$87</definedName>
    <definedName name="OSRRefH22_15x_0" localSheetId="57">'315'!$H$96:$H$99</definedName>
    <definedName name="OSRRefH22_15x_0" localSheetId="66">'325'!$H$82</definedName>
    <definedName name="OSRRefH22_15x_0" localSheetId="58">'326'!$H$81</definedName>
    <definedName name="OSRRefH22_15x_0" localSheetId="56">'331'!$H$94:$H$96</definedName>
    <definedName name="OSRRefH22_15x_0" localSheetId="54">'333'!$H$97:$H$99</definedName>
    <definedName name="OSRRefH22_15x_0" localSheetId="71">'405'!$H$86</definedName>
    <definedName name="OSRRefH22_15x_0" localSheetId="77">'415'!$H$85:$H$86</definedName>
    <definedName name="OSRRefH22_15x_0" localSheetId="84">'433'!$H$87</definedName>
    <definedName name="OSRRefH22_15x_0" localSheetId="86">'444'!$H$87</definedName>
    <definedName name="OSRRefH22_15x_0" localSheetId="87">'450'!$H$86</definedName>
    <definedName name="OSRRefH22_15x_0" localSheetId="70">'491'!$H$84</definedName>
    <definedName name="OSRRefH22_15x_0" localSheetId="82">'492'!$H$80:$H$88</definedName>
    <definedName name="OSRRefH22_15x_0" localSheetId="39">'Div 2'!$H$77:$H$78</definedName>
    <definedName name="OSRRefH22_15x_0" localSheetId="47">'Div 3'!$H$112</definedName>
    <definedName name="OSRRefH22_15x_0" localSheetId="68">'Div 4'!$H$82</definedName>
    <definedName name="OSRRefH22_15x_0" localSheetId="2">Summary!$H$119</definedName>
    <definedName name="OSRRefH22_16x_0" localSheetId="48">'300'!$H$108:$H$111</definedName>
    <definedName name="OSRRefH22_16x_0" localSheetId="49">'300 &amp; 317'!$H$114:$H$117</definedName>
    <definedName name="OSRRefH22_16x_0" localSheetId="50">'301'!$H$76:$H$77</definedName>
    <definedName name="OSRRefH22_16x_0" localSheetId="63">'310'!$H$89</definedName>
    <definedName name="OSRRefH22_16x_0" localSheetId="69">'310 &amp; 491'!$H$89:$H$98</definedName>
    <definedName name="OSRRefH22_16x_0" localSheetId="57">'315'!$H$101</definedName>
    <definedName name="OSRRefH22_16x_0" localSheetId="66">'325'!$H$84</definedName>
    <definedName name="OSRRefH22_16x_0" localSheetId="58">'326'!$H$83:$H$84</definedName>
    <definedName name="OSRRefH22_16x_0" localSheetId="56">'331'!$H$98:$H$99</definedName>
    <definedName name="OSRRefH22_16x_0" localSheetId="54">'333'!$H$101:$H$103</definedName>
    <definedName name="OSRRefH22_16x_0" localSheetId="71">'405'!$H$88</definedName>
    <definedName name="OSRRefH22_16x_0" localSheetId="77">'415'!$H$88</definedName>
    <definedName name="OSRRefH22_16x_0" localSheetId="86">'444'!$H$89</definedName>
    <definedName name="OSRRefH22_16x_0" localSheetId="87">'450'!$H$88</definedName>
    <definedName name="OSRRefH22_16x_0" localSheetId="70">'491'!$H$86:$H$95</definedName>
    <definedName name="OSRRefH22_16x_0" localSheetId="82">'492'!$H$90:$H$91</definedName>
    <definedName name="OSRRefH22_16x_0" localSheetId="39">'Div 2'!$H$80:$H$85</definedName>
    <definedName name="OSRRefH22_16x_0" localSheetId="47">'Div 3'!$H$114</definedName>
    <definedName name="OSRRefH22_16x_0" localSheetId="68">'Div 4'!$H$84:$H$88</definedName>
    <definedName name="OSRRefH22_16x_0" localSheetId="2">Summary!$H$121</definedName>
    <definedName name="OSRRefH22_17x_0" localSheetId="48">'300'!$H$113:$H$116</definedName>
    <definedName name="OSRRefH22_17x_0" localSheetId="49">'300 &amp; 317'!$H$119:$H$122</definedName>
    <definedName name="OSRRefH22_17x_0" localSheetId="50">'301'!$H$79</definedName>
    <definedName name="OSRRefH22_17x_0" localSheetId="63">'310'!$H$91</definedName>
    <definedName name="OSRRefH22_17x_0" localSheetId="69">'310 &amp; 491'!$H$100:$H$101</definedName>
    <definedName name="OSRRefH22_17x_0" localSheetId="57">'315'!$H$103</definedName>
    <definedName name="OSRRefH22_17x_0" localSheetId="58">'326'!$H$86</definedName>
    <definedName name="OSRRefH22_17x_0" localSheetId="56">'331'!$H$101:$H$102</definedName>
    <definedName name="OSRRefH22_17x_0" localSheetId="54">'333'!$H$105:$H$106</definedName>
    <definedName name="OSRRefH22_17x_0" localSheetId="77">'415'!$H$90</definedName>
    <definedName name="OSRRefH22_17x_0" localSheetId="70">'491'!$H$97:$H$98</definedName>
    <definedName name="OSRRefH22_17x_0" localSheetId="82">'492'!$H$93</definedName>
    <definedName name="OSRRefH22_17x_0" localSheetId="39">'Div 2'!$H$87:$H$88</definedName>
    <definedName name="OSRRefH22_17x_0" localSheetId="47">'Div 3'!$H$116:$H$119</definedName>
    <definedName name="OSRRefH22_17x_0" localSheetId="68">'Div 4'!$H$90:$H$91</definedName>
    <definedName name="OSRRefH22_17x_0" localSheetId="2">Summary!$H$123</definedName>
    <definedName name="OSRRefH22_18x_0" localSheetId="48">'300'!$H$118:$H$120</definedName>
    <definedName name="OSRRefH22_18x_0" localSheetId="49">'300 &amp; 317'!$H$124:$H$126</definedName>
    <definedName name="OSRRefH22_18x_0" localSheetId="50">'301'!$H$81:$H$86</definedName>
    <definedName name="OSRRefH22_18x_0" localSheetId="69">'310 &amp; 491'!$H$103</definedName>
    <definedName name="OSRRefH22_18x_0" localSheetId="57">'315'!$H$105</definedName>
    <definedName name="OSRRefH22_18x_0" localSheetId="56">'331'!$H$104:$H$108</definedName>
    <definedName name="OSRRefH22_18x_0" localSheetId="54">'333'!$H$108:$H$113</definedName>
    <definedName name="OSRRefH22_18x_0" localSheetId="70">'491'!$H$100</definedName>
    <definedName name="OSRRefH22_18x_0" localSheetId="82">'492'!$H$95:$H$96</definedName>
    <definedName name="OSRRefH22_18x_0" localSheetId="39">'Div 2'!$H$90</definedName>
    <definedName name="OSRRefH22_18x_0" localSheetId="47">'Div 3'!$H$121:$H$124</definedName>
    <definedName name="OSRRefH22_18x_0" localSheetId="68">'Div 4'!$H$93:$H$102</definedName>
    <definedName name="OSRRefH22_18x_0" localSheetId="2">Summary!$H$125:$H$128</definedName>
    <definedName name="OSRRefH22_19x_0" localSheetId="48">'300'!$H$122:$H$123</definedName>
    <definedName name="OSRRefH22_19x_0" localSheetId="49">'300 &amp; 317'!$H$128:$H$129</definedName>
    <definedName name="OSRRefH22_19x_0" localSheetId="50">'301'!$H$88</definedName>
    <definedName name="OSRRefH22_19x_0" localSheetId="69">'310 &amp; 491'!$H$105:$H$106</definedName>
    <definedName name="OSRRefH22_19x_0" localSheetId="56">'331'!$H$110</definedName>
    <definedName name="OSRRefH22_19x_0" localSheetId="54">'333'!$H$115</definedName>
    <definedName name="OSRRefH22_19x_0" localSheetId="70">'491'!$H$102:$H$103</definedName>
    <definedName name="OSRRefH22_19x_0" localSheetId="39">'Div 2'!$H$92:$H$93</definedName>
    <definedName name="OSRRefH22_19x_0" localSheetId="47">'Div 3'!$H$126:$H$129</definedName>
    <definedName name="OSRRefH22_19x_0" localSheetId="68">'Div 4'!$H$104:$H$105</definedName>
    <definedName name="OSRRefH22_19x_0" localSheetId="2">Summary!$H$130:$H$133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5">'307'!$H$43:$H$52</definedName>
    <definedName name="OSRRefH22_1x_0" localSheetId="51">'308'!$H$46:$H$55</definedName>
    <definedName name="OSRRefH22_1x_0" localSheetId="64">'309'!$H$29:$H$30</definedName>
    <definedName name="OSRRefH22_1x_0" localSheetId="63">'310'!$H$40:$H$49</definedName>
    <definedName name="OSRRefH22_1x_0" localSheetId="69">'310 &amp; 491'!$H$40:$H$49</definedName>
    <definedName name="OSRRefH22_1x_0" localSheetId="52">'311'!$H$46:$H$55</definedName>
    <definedName name="OSRRefH22_1x_0" localSheetId="57">'315'!$H$54:$H$63</definedName>
    <definedName name="OSRRefH22_1x_0" localSheetId="60">'316'!$H$37:$H$46</definedName>
    <definedName name="OSRRefH22_1x_0" localSheetId="62">'317'!$H$46:$H$55</definedName>
    <definedName name="OSRRefH22_1x_0" localSheetId="65">'321'!$H$35:$H$44</definedName>
    <definedName name="OSRRefH22_1x_0" localSheetId="66">'325'!$H$35:$H$44</definedName>
    <definedName name="OSRRefH22_1x_0" localSheetId="58">'326'!$H$38:$H$47</definedName>
    <definedName name="OSRRefH22_1x_0" localSheetId="67">'327'!$H$28</definedName>
    <definedName name="OSRRefH22_1x_0" localSheetId="56">'331'!$H$54:$H$63</definedName>
    <definedName name="OSRRefH22_1x_0" localSheetId="59">'332'!$H$37:$H$46</definedName>
    <definedName name="OSRRefH22_1x_0" localSheetId="54">'333'!$H$56:$H$65</definedName>
    <definedName name="OSRRefH22_1x_0" localSheetId="71">'405'!$H$37:$H$46</definedName>
    <definedName name="OSRRefH22_1x_0" localSheetId="72">'406'!$H$22</definedName>
    <definedName name="OSRRefH22_1x_0" localSheetId="73">'411'!$H$30:$H$39</definedName>
    <definedName name="OSRRefH22_1x_0" localSheetId="74">'412'!$H$22</definedName>
    <definedName name="OSRRefH22_1x_0" localSheetId="75">'413'!$H$22</definedName>
    <definedName name="OSRRefH22_1x_0" localSheetId="76">'414'!$H$22</definedName>
    <definedName name="OSRRefH22_1x_0" localSheetId="77">'415'!$H$37:$H$46</definedName>
    <definedName name="OSRRefH22_1x_0" localSheetId="78">'418'!$H$34:$H$43</definedName>
    <definedName name="OSRRefH22_1x_0" localSheetId="79">'423'!$H$29:$H$38</definedName>
    <definedName name="OSRRefH22_1x_0" localSheetId="80">'424'!$H$22</definedName>
    <definedName name="OSRRefH22_1x_0" localSheetId="81">'425'!$H$24</definedName>
    <definedName name="OSRRefH22_1x_0" localSheetId="83">'430'!$H$30:$H$39</definedName>
    <definedName name="OSRRefH22_1x_0" localSheetId="84">'433'!$H$38:$H$47</definedName>
    <definedName name="OSRRefH22_1x_0" localSheetId="86">'444'!$H$38:$H$47</definedName>
    <definedName name="OSRRefH22_1x_0" localSheetId="87">'450'!$H$38:$H$47</definedName>
    <definedName name="OSRRefH22_1x_0" localSheetId="70">'491'!$H$38:$H$47</definedName>
    <definedName name="OSRRefH22_1x_0" localSheetId="82">'492'!$H$38:$H$47</definedName>
    <definedName name="OSRRefH22_1x_0" localSheetId="89">'501'!$H$32:$H$41</definedName>
    <definedName name="OSRRefH22_1x_0" localSheetId="39">'Div 2'!$H$32:$H$41</definedName>
    <definedName name="OSRRefH22_1x_0" localSheetId="47">'Div 3'!$H$71:$H$80</definedName>
    <definedName name="OSRRefH22_1x_0" localSheetId="68">'Div 4'!$H$40:$H$49</definedName>
    <definedName name="OSRRefH22_1x_0" localSheetId="88">'Div 5'!$H$32:$H$41</definedName>
    <definedName name="OSRRefH22_1x_0" localSheetId="61">'Div 6'!$H$46:$H$55</definedName>
    <definedName name="OSRRefH22_1x_0" localSheetId="2">Summary!$H$77:$H$86</definedName>
    <definedName name="OSRRefH22_20x_0" localSheetId="48">'300'!$H$125:$H$131</definedName>
    <definedName name="OSRRefH22_20x_0" localSheetId="49">'300 &amp; 317'!$H$131:$H$137</definedName>
    <definedName name="OSRRefH22_20x_0" localSheetId="50">'301'!$H$90</definedName>
    <definedName name="OSRRefH22_20x_0" localSheetId="69">'310 &amp; 491'!$H$108</definedName>
    <definedName name="OSRRefH22_20x_0" localSheetId="56">'331'!$H$112</definedName>
    <definedName name="OSRRefH22_20x_0" localSheetId="54">'333'!$H$117</definedName>
    <definedName name="OSRRefH22_20x_0" localSheetId="70">'491'!$H$105</definedName>
    <definedName name="OSRRefH22_20x_0" localSheetId="47">'Div 3'!$H$131:$H$132</definedName>
    <definedName name="OSRRefH22_20x_0" localSheetId="68">'Div 4'!$H$107</definedName>
    <definedName name="OSRRefH22_20x_0" localSheetId="2">Summary!$H$135:$H$139</definedName>
    <definedName name="OSRRefH22_21x_0" localSheetId="48">'300'!$H$133:$H$134</definedName>
    <definedName name="OSRRefH22_21x_0" localSheetId="49">'300 &amp; 317'!$H$139:$H$140</definedName>
    <definedName name="OSRRefH22_21x_0" localSheetId="50">'301'!$H$92:$H$93</definedName>
    <definedName name="OSRRefH22_21x_0" localSheetId="56">'331'!$H$114:$H$115</definedName>
    <definedName name="OSRRefH22_21x_0" localSheetId="54">'333'!$H$119:$H$120</definedName>
    <definedName name="OSRRefH22_21x_0" localSheetId="47">'Div 3'!$H$134:$H$140</definedName>
    <definedName name="OSRRefH22_21x_0" localSheetId="68">'Div 4'!$H$109:$H$110</definedName>
    <definedName name="OSRRefH22_21x_0" localSheetId="2">Summary!$H$141:$H$142</definedName>
    <definedName name="OSRRefH22_22x_0" localSheetId="48">'300'!$H$136</definedName>
    <definedName name="OSRRefH22_22x_0" localSheetId="49">'300 &amp; 317'!$H$142</definedName>
    <definedName name="OSRRefH22_22x_0" localSheetId="50">'301'!$H$95</definedName>
    <definedName name="OSRRefH22_22x_0" localSheetId="56">'331'!$H$117</definedName>
    <definedName name="OSRRefH22_22x_0" localSheetId="54">'333'!$H$122</definedName>
    <definedName name="OSRRefH22_22x_0" localSheetId="47">'Div 3'!$H$142:$H$143</definedName>
    <definedName name="OSRRefH22_22x_0" localSheetId="68">'Div 4'!$H$112</definedName>
    <definedName name="OSRRefH22_22x_0" localSheetId="2">Summary!$H$144:$H$153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3'!$H$145</definedName>
    <definedName name="OSRRefH22_23x_0" localSheetId="2">Summary!$H$155:$H$156</definedName>
    <definedName name="OSRRefH22_24x_0" localSheetId="48">'300'!$H$142</definedName>
    <definedName name="OSRRefH22_24x_0" localSheetId="49">'300 &amp; 317'!$H$148</definedName>
    <definedName name="OSRRefH22_24x_0" localSheetId="47">'Div 3'!$H$147:$H$149</definedName>
    <definedName name="OSRRefH22_24x_0" localSheetId="2">Summary!$H$158</definedName>
    <definedName name="OSRRefH22_25x_0" localSheetId="47">'Div 3'!$H$151</definedName>
    <definedName name="OSRRefH22_25x_0" localSheetId="2">Summary!$H$160:$H$162</definedName>
    <definedName name="OSRRefH22_26x_0" localSheetId="2">Summary!$H$164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5">'307'!$H$54</definedName>
    <definedName name="OSRRefH22_2x_0" localSheetId="51">'308'!$H$57</definedName>
    <definedName name="OSRRefH22_2x_0" localSheetId="64">'309'!$H$32</definedName>
    <definedName name="OSRRefH22_2x_0" localSheetId="63">'310'!$H$51</definedName>
    <definedName name="OSRRefH22_2x_0" localSheetId="69">'310 &amp; 491'!$H$51</definedName>
    <definedName name="OSRRefH22_2x_0" localSheetId="52">'311'!$H$57</definedName>
    <definedName name="OSRRefH22_2x_0" localSheetId="57">'315'!$H$65</definedName>
    <definedName name="OSRRefH22_2x_0" localSheetId="60">'316'!$H$48</definedName>
    <definedName name="OSRRefH22_2x_0" localSheetId="62">'317'!$H$57</definedName>
    <definedName name="OSRRefH22_2x_0" localSheetId="65">'321'!$H$46</definedName>
    <definedName name="OSRRefH22_2x_0" localSheetId="66">'325'!$H$46</definedName>
    <definedName name="OSRRefH22_2x_0" localSheetId="58">'326'!$H$49</definedName>
    <definedName name="OSRRefH22_2x_0" localSheetId="56">'331'!$H$65</definedName>
    <definedName name="OSRRefH22_2x_0" localSheetId="59">'332'!$H$48</definedName>
    <definedName name="OSRRefH22_2x_0" localSheetId="54">'333'!$H$67</definedName>
    <definedName name="OSRRefH22_2x_0" localSheetId="71">'405'!$H$48</definedName>
    <definedName name="OSRRefH22_2x_0" localSheetId="73">'411'!$H$41</definedName>
    <definedName name="OSRRefH22_2x_0" localSheetId="74">'412'!$H$24</definedName>
    <definedName name="OSRRefH22_2x_0" localSheetId="75">'413'!$H$24</definedName>
    <definedName name="OSRRefH22_2x_0" localSheetId="76">'414'!$H$24</definedName>
    <definedName name="OSRRefH22_2x_0" localSheetId="77">'415'!$H$48</definedName>
    <definedName name="OSRRefH22_2x_0" localSheetId="78">'418'!$H$45</definedName>
    <definedName name="OSRRefH22_2x_0" localSheetId="79">'423'!$H$40</definedName>
    <definedName name="OSRRefH22_2x_0" localSheetId="80">'424'!$H$24</definedName>
    <definedName name="OSRRefH22_2x_0" localSheetId="81">'425'!$H$26</definedName>
    <definedName name="OSRRefH22_2x_0" localSheetId="83">'430'!$H$41</definedName>
    <definedName name="OSRRefH22_2x_0" localSheetId="84">'433'!$H$49</definedName>
    <definedName name="OSRRefH22_2x_0" localSheetId="86">'444'!$H$49</definedName>
    <definedName name="OSRRefH22_2x_0" localSheetId="87">'450'!$H$49</definedName>
    <definedName name="OSRRefH22_2x_0" localSheetId="70">'491'!$H$49</definedName>
    <definedName name="OSRRefH22_2x_0" localSheetId="82">'492'!$H$49</definedName>
    <definedName name="OSRRefH22_2x_0" localSheetId="89">'501'!$H$43</definedName>
    <definedName name="OSRRefH22_2x_0" localSheetId="39">'Div 2'!$H$43</definedName>
    <definedName name="OSRRefH22_2x_0" localSheetId="47">'Div 3'!$H$82</definedName>
    <definedName name="OSRRefH22_2x_0" localSheetId="68">'Div 4'!$H$51</definedName>
    <definedName name="OSRRefH22_2x_0" localSheetId="88">'Div 5'!$H$43</definedName>
    <definedName name="OSRRefH22_2x_0" localSheetId="61">'Div 6'!$H$57</definedName>
    <definedName name="OSRRefH22_2x_0" localSheetId="2">Summary!$H$88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5">'307'!$H$56</definedName>
    <definedName name="OSRRefH22_3x_0" localSheetId="51">'308'!$H$59</definedName>
    <definedName name="OSRRefH22_3x_0" localSheetId="64">'309'!$H$34</definedName>
    <definedName name="OSRRefH22_3x_0" localSheetId="63">'310'!$H$53</definedName>
    <definedName name="OSRRefH22_3x_0" localSheetId="69">'310 &amp; 491'!$H$53</definedName>
    <definedName name="OSRRefH22_3x_0" localSheetId="52">'311'!$H$59</definedName>
    <definedName name="OSRRefH22_3x_0" localSheetId="57">'315'!$H$67</definedName>
    <definedName name="OSRRefH22_3x_0" localSheetId="60">'316'!$H$50</definedName>
    <definedName name="OSRRefH22_3x_0" localSheetId="62">'317'!$H$59</definedName>
    <definedName name="OSRRefH22_3x_0" localSheetId="65">'321'!$H$48</definedName>
    <definedName name="OSRRefH22_3x_0" localSheetId="66">'325'!$H$48</definedName>
    <definedName name="OSRRefH22_3x_0" localSheetId="58">'326'!$H$51</definedName>
    <definedName name="OSRRefH22_3x_0" localSheetId="56">'331'!$H$67</definedName>
    <definedName name="OSRRefH22_3x_0" localSheetId="59">'332'!$H$50</definedName>
    <definedName name="OSRRefH22_3x_0" localSheetId="54">'333'!$H$69</definedName>
    <definedName name="OSRRefH22_3x_0" localSheetId="71">'405'!$H$50</definedName>
    <definedName name="OSRRefH22_3x_0" localSheetId="73">'411'!$H$43:$H$44</definedName>
    <definedName name="OSRRefH22_3x_0" localSheetId="74">'412'!$H$26</definedName>
    <definedName name="OSRRefH22_3x_0" localSheetId="77">'415'!$H$50</definedName>
    <definedName name="OSRRefH22_3x_0" localSheetId="78">'418'!$H$47</definedName>
    <definedName name="OSRRefH22_3x_0" localSheetId="79">'423'!$H$42</definedName>
    <definedName name="OSRRefH22_3x_0" localSheetId="81">'425'!$H$28</definedName>
    <definedName name="OSRRefH22_3x_0" localSheetId="83">'430'!$H$43</definedName>
    <definedName name="OSRRefH22_3x_0" localSheetId="84">'433'!$H$51</definedName>
    <definedName name="OSRRefH22_3x_0" localSheetId="86">'444'!$H$51</definedName>
    <definedName name="OSRRefH22_3x_0" localSheetId="87">'450'!$H$51</definedName>
    <definedName name="OSRRefH22_3x_0" localSheetId="70">'491'!$H$51</definedName>
    <definedName name="OSRRefH22_3x_0" localSheetId="82">'492'!$H$51</definedName>
    <definedName name="OSRRefH22_3x_0" localSheetId="89">'501'!$H$45</definedName>
    <definedName name="OSRRefH22_3x_0" localSheetId="39">'Div 2'!$H$45</definedName>
    <definedName name="OSRRefH22_3x_0" localSheetId="47">'Div 3'!$H$84</definedName>
    <definedName name="OSRRefH22_3x_0" localSheetId="68">'Div 4'!$H$53</definedName>
    <definedName name="OSRRefH22_3x_0" localSheetId="88">'Div 5'!$H$45</definedName>
    <definedName name="OSRRefH22_3x_0" localSheetId="61">'Div 6'!$H$59</definedName>
    <definedName name="OSRRefH22_3x_0" localSheetId="2">Summary!$H$90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5">'307'!$H$58</definedName>
    <definedName name="OSRRefH22_4x_0" localSheetId="51">'308'!$H$61</definedName>
    <definedName name="OSRRefH22_4x_0" localSheetId="64">'309'!$H$36</definedName>
    <definedName name="OSRRefH22_4x_0" localSheetId="63">'310'!$H$55</definedName>
    <definedName name="OSRRefH22_4x_0" localSheetId="69">'310 &amp; 491'!$H$55</definedName>
    <definedName name="OSRRefH22_4x_0" localSheetId="52">'311'!$H$61</definedName>
    <definedName name="OSRRefH22_4x_0" localSheetId="57">'315'!$H$69</definedName>
    <definedName name="OSRRefH22_4x_0" localSheetId="60">'316'!$H$52</definedName>
    <definedName name="OSRRefH22_4x_0" localSheetId="62">'317'!$H$61</definedName>
    <definedName name="OSRRefH22_4x_0" localSheetId="65">'321'!$H$50</definedName>
    <definedName name="OSRRefH22_4x_0" localSheetId="66">'325'!$H$50</definedName>
    <definedName name="OSRRefH22_4x_0" localSheetId="58">'326'!$H$53</definedName>
    <definedName name="OSRRefH22_4x_0" localSheetId="56">'331'!$H$69</definedName>
    <definedName name="OSRRefH22_4x_0" localSheetId="59">'332'!$H$52</definedName>
    <definedName name="OSRRefH22_4x_0" localSheetId="54">'333'!$H$71</definedName>
    <definedName name="OSRRefH22_4x_0" localSheetId="71">'405'!$H$52</definedName>
    <definedName name="OSRRefH22_4x_0" localSheetId="73">'411'!$H$46</definedName>
    <definedName name="OSRRefH22_4x_0" localSheetId="77">'415'!$H$52</definedName>
    <definedName name="OSRRefH22_4x_0" localSheetId="78">'418'!$H$49:$H$50</definedName>
    <definedName name="OSRRefH22_4x_0" localSheetId="79">'423'!$H$44</definedName>
    <definedName name="OSRRefH22_4x_0" localSheetId="81">'425'!$H$30</definedName>
    <definedName name="OSRRefH22_4x_0" localSheetId="83">'430'!$H$45</definedName>
    <definedName name="OSRRefH22_4x_0" localSheetId="84">'433'!$H$53</definedName>
    <definedName name="OSRRefH22_4x_0" localSheetId="86">'444'!$H$53</definedName>
    <definedName name="OSRRefH22_4x_0" localSheetId="87">'450'!$H$53</definedName>
    <definedName name="OSRRefH22_4x_0" localSheetId="70">'491'!$H$53</definedName>
    <definedName name="OSRRefH22_4x_0" localSheetId="82">'492'!$H$53</definedName>
    <definedName name="OSRRefH22_4x_0" localSheetId="89">'501'!$H$47</definedName>
    <definedName name="OSRRefH22_4x_0" localSheetId="39">'Div 2'!$H$47</definedName>
    <definedName name="OSRRefH22_4x_0" localSheetId="47">'Div 3'!$H$86</definedName>
    <definedName name="OSRRefH22_4x_0" localSheetId="68">'Div 4'!$H$55</definedName>
    <definedName name="OSRRefH22_4x_0" localSheetId="88">'Div 5'!$H$47</definedName>
    <definedName name="OSRRefH22_4x_0" localSheetId="61">'Div 6'!$H$61</definedName>
    <definedName name="OSRRefH22_4x_0" localSheetId="2">Summary!$H$92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5">'307'!$H$60:$H$61</definedName>
    <definedName name="OSRRefH22_5x_0" localSheetId="51">'308'!$H$63</definedName>
    <definedName name="OSRRefH22_5x_0" localSheetId="64">'309'!$H$38</definedName>
    <definedName name="OSRRefH22_5x_0" localSheetId="63">'310'!$H$57:$H$58</definedName>
    <definedName name="OSRRefH22_5x_0" localSheetId="69">'310 &amp; 491'!$H$57:$H$58</definedName>
    <definedName name="OSRRefH22_5x_0" localSheetId="52">'311'!$H$63</definedName>
    <definedName name="OSRRefH22_5x_0" localSheetId="57">'315'!$H$71</definedName>
    <definedName name="OSRRefH22_5x_0" localSheetId="60">'316'!$H$54:$H$55</definedName>
    <definedName name="OSRRefH22_5x_0" localSheetId="62">'317'!$H$63</definedName>
    <definedName name="OSRRefH22_5x_0" localSheetId="65">'321'!$H$52</definedName>
    <definedName name="OSRRefH22_5x_0" localSheetId="66">'325'!$H$52:$H$53</definedName>
    <definedName name="OSRRefH22_5x_0" localSheetId="58">'326'!$H$55</definedName>
    <definedName name="OSRRefH22_5x_0" localSheetId="56">'331'!$H$71</definedName>
    <definedName name="OSRRefH22_5x_0" localSheetId="59">'332'!$H$54:$H$55</definedName>
    <definedName name="OSRRefH22_5x_0" localSheetId="54">'333'!$H$73:$H$74</definedName>
    <definedName name="OSRRefH22_5x_0" localSheetId="71">'405'!$H$54:$H$55</definedName>
    <definedName name="OSRRefH22_5x_0" localSheetId="73">'411'!$H$48</definedName>
    <definedName name="OSRRefH22_5x_0" localSheetId="77">'415'!$H$54:$H$55</definedName>
    <definedName name="OSRRefH22_5x_0" localSheetId="78">'418'!$H$52</definedName>
    <definedName name="OSRRefH22_5x_0" localSheetId="79">'423'!$H$46</definedName>
    <definedName name="OSRRefH22_5x_0" localSheetId="81">'425'!$H$32</definedName>
    <definedName name="OSRRefH22_5x_0" localSheetId="83">'430'!$H$47:$H$48</definedName>
    <definedName name="OSRRefH22_5x_0" localSheetId="84">'433'!$H$55</definedName>
    <definedName name="OSRRefH22_5x_0" localSheetId="86">'444'!$H$55</definedName>
    <definedName name="OSRRefH22_5x_0" localSheetId="87">'450'!$H$55</definedName>
    <definedName name="OSRRefH22_5x_0" localSheetId="70">'491'!$H$55:$H$56</definedName>
    <definedName name="OSRRefH22_5x_0" localSheetId="82">'492'!$H$55</definedName>
    <definedName name="OSRRefH22_5x_0" localSheetId="89">'501'!$H$49:$H$50</definedName>
    <definedName name="OSRRefH22_5x_0" localSheetId="39">'Div 2'!$H$49:$H$50</definedName>
    <definedName name="OSRRefH22_5x_0" localSheetId="47">'Div 3'!$H$88:$H$89</definedName>
    <definedName name="OSRRefH22_5x_0" localSheetId="68">'Div 4'!$H$57:$H$58</definedName>
    <definedName name="OSRRefH22_5x_0" localSheetId="88">'Div 5'!$H$49:$H$50</definedName>
    <definedName name="OSRRefH22_5x_0" localSheetId="61">'Div 6'!$H$63</definedName>
    <definedName name="OSRRefH22_5x_0" localSheetId="2">Summary!$H$94:$H$95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'204'!$H$53:$H$54</definedName>
    <definedName name="OSRRefH22_6x_0" localSheetId="45">'205'!$H$50:$H$52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'301'!$H$52:$H$53</definedName>
    <definedName name="OSRRefH22_6x_0" localSheetId="55">'307'!$H$63</definedName>
    <definedName name="OSRRefH22_6x_0" localSheetId="51">'308'!$H$65:$H$66</definedName>
    <definedName name="OSRRefH22_6x_0" localSheetId="64">'309'!$H$40</definedName>
    <definedName name="OSRRefH22_6x_0" localSheetId="63">'310'!$H$60</definedName>
    <definedName name="OSRRefH22_6x_0" localSheetId="69">'310 &amp; 491'!$H$60</definedName>
    <definedName name="OSRRefH22_6x_0" localSheetId="52">'311'!$H$65:$H$66</definedName>
    <definedName name="OSRRefH22_6x_0" localSheetId="57">'315'!$H$73</definedName>
    <definedName name="OSRRefH22_6x_0" localSheetId="60">'316'!$H$57</definedName>
    <definedName name="OSRRefH22_6x_0" localSheetId="62">'317'!$H$65</definedName>
    <definedName name="OSRRefH22_6x_0" localSheetId="65">'321'!$H$54</definedName>
    <definedName name="OSRRefH22_6x_0" localSheetId="66">'325'!$H$55</definedName>
    <definedName name="OSRRefH22_6x_0" localSheetId="58">'326'!$H$57:$H$58</definedName>
    <definedName name="OSRRefH22_6x_0" localSheetId="56">'331'!$H$73</definedName>
    <definedName name="OSRRefH22_6x_0" localSheetId="59">'332'!$H$57</definedName>
    <definedName name="OSRRefH22_6x_0" localSheetId="54">'333'!$H$76</definedName>
    <definedName name="OSRRefH22_6x_0" localSheetId="71">'405'!$H$57</definedName>
    <definedName name="OSRRefH22_6x_0" localSheetId="73">'411'!$H$50</definedName>
    <definedName name="OSRRefH22_6x_0" localSheetId="77">'415'!$H$57</definedName>
    <definedName name="OSRRefH22_6x_0" localSheetId="78">'418'!$H$54</definedName>
    <definedName name="OSRRefH22_6x_0" localSheetId="83">'430'!$H$50:$H$51</definedName>
    <definedName name="OSRRefH22_6x_0" localSheetId="84">'433'!$H$57</definedName>
    <definedName name="OSRRefH22_6x_0" localSheetId="86">'444'!$H$57</definedName>
    <definedName name="OSRRefH22_6x_0" localSheetId="87">'450'!$H$57</definedName>
    <definedName name="OSRRefH22_6x_0" localSheetId="70">'491'!$H$58</definedName>
    <definedName name="OSRRefH22_6x_0" localSheetId="82">'492'!$H$57</definedName>
    <definedName name="OSRRefH22_6x_0" localSheetId="89">'501'!$H$52</definedName>
    <definedName name="OSRRefH22_6x_0" localSheetId="39">'Div 2'!$H$52</definedName>
    <definedName name="OSRRefH22_6x_0" localSheetId="47">'Div 3'!$H$91:$H$92</definedName>
    <definedName name="OSRRefH22_6x_0" localSheetId="68">'Div 4'!$H$60</definedName>
    <definedName name="OSRRefH22_6x_0" localSheetId="88">'Div 5'!$H$52</definedName>
    <definedName name="OSRRefH22_6x_0" localSheetId="61">'Div 6'!$H$65</definedName>
    <definedName name="OSRRefH22_6x_0" localSheetId="2">Summary!$H$97:$H$98</definedName>
    <definedName name="OSRRefH22_7x_0" localSheetId="41">'201'!$H$51</definedName>
    <definedName name="OSRRefH22_7x_0" localSheetId="42">'202'!$H$51:$H$53</definedName>
    <definedName name="OSRRefH22_7x_0" localSheetId="43">'203'!$H$52</definedName>
    <definedName name="OSRRefH22_7x_0" localSheetId="44">'204'!$H$56</definedName>
    <definedName name="OSRRefH22_7x_0" localSheetId="45">'205'!$H$54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'301'!$H$55</definedName>
    <definedName name="OSRRefH22_7x_0" localSheetId="55">'307'!$H$65</definedName>
    <definedName name="OSRRefH22_7x_0" localSheetId="51">'308'!$H$68</definedName>
    <definedName name="OSRRefH22_7x_0" localSheetId="64">'309'!$H$42</definedName>
    <definedName name="OSRRefH22_7x_0" localSheetId="63">'310'!$H$62</definedName>
    <definedName name="OSRRefH22_7x_0" localSheetId="69">'310 &amp; 491'!$H$62</definedName>
    <definedName name="OSRRefH22_7x_0" localSheetId="52">'311'!$H$68</definedName>
    <definedName name="OSRRefH22_7x_0" localSheetId="57">'315'!$H$75</definedName>
    <definedName name="OSRRefH22_7x_0" localSheetId="60">'316'!$H$59:$H$61</definedName>
    <definedName name="OSRRefH22_7x_0" localSheetId="62">'317'!$H$67</definedName>
    <definedName name="OSRRefH22_7x_0" localSheetId="65">'321'!$H$56:$H$57</definedName>
    <definedName name="OSRRefH22_7x_0" localSheetId="66">'325'!$H$57</definedName>
    <definedName name="OSRRefH22_7x_0" localSheetId="58">'326'!$H$60</definedName>
    <definedName name="OSRRefH22_7x_0" localSheetId="56">'331'!$H$75</definedName>
    <definedName name="OSRRefH22_7x_0" localSheetId="59">'332'!$H$59:$H$61</definedName>
    <definedName name="OSRRefH22_7x_0" localSheetId="54">'333'!$H$78</definedName>
    <definedName name="OSRRefH22_7x_0" localSheetId="71">'405'!$H$59</definedName>
    <definedName name="OSRRefH22_7x_0" localSheetId="73">'411'!$H$52</definedName>
    <definedName name="OSRRefH22_7x_0" localSheetId="77">'415'!$H$59</definedName>
    <definedName name="OSRRefH22_7x_0" localSheetId="78">'418'!$H$56:$H$57</definedName>
    <definedName name="OSRRefH22_7x_0" localSheetId="83">'430'!$H$53</definedName>
    <definedName name="OSRRefH22_7x_0" localSheetId="84">'433'!$H$59</definedName>
    <definedName name="OSRRefH22_7x_0" localSheetId="86">'444'!$H$59</definedName>
    <definedName name="OSRRefH22_7x_0" localSheetId="87">'450'!$H$59</definedName>
    <definedName name="OSRRefH22_7x_0" localSheetId="70">'491'!$H$60</definedName>
    <definedName name="OSRRefH22_7x_0" localSheetId="82">'492'!$H$59</definedName>
    <definedName name="OSRRefH22_7x_0" localSheetId="89">'501'!$H$54</definedName>
    <definedName name="OSRRefH22_7x_0" localSheetId="39">'Div 2'!$H$54</definedName>
    <definedName name="OSRRefH22_7x_0" localSheetId="47">'Div 3'!$H$94</definedName>
    <definedName name="OSRRefH22_7x_0" localSheetId="68">'Div 4'!$H$62</definedName>
    <definedName name="OSRRefH22_7x_0" localSheetId="88">'Div 5'!$H$54</definedName>
    <definedName name="OSRRefH22_7x_0" localSheetId="61">'Div 6'!$H$67</definedName>
    <definedName name="OSRRefH22_7x_0" localSheetId="2">Summary!$H$100</definedName>
    <definedName name="OSRRefH22_8x_0" localSheetId="41">'201'!$H$53</definedName>
    <definedName name="OSRRefH22_8x_0" localSheetId="42">'202'!$H$55</definedName>
    <definedName name="OSRRefH22_8x_0" localSheetId="43">'203'!$H$54:$H$56</definedName>
    <definedName name="OSRRefH22_8x_0" localSheetId="44">'204'!$H$58:$H$59</definedName>
    <definedName name="OSRRefH22_8x_0" localSheetId="48">'300'!$H$90</definedName>
    <definedName name="OSRRefH22_8x_0" localSheetId="49">'300 &amp; 317'!$H$96</definedName>
    <definedName name="OSRRefH22_8x_0" localSheetId="50">'301'!$H$57</definedName>
    <definedName name="OSRRefH22_8x_0" localSheetId="55">'307'!$H$67</definedName>
    <definedName name="OSRRefH22_8x_0" localSheetId="51">'308'!$H$70</definedName>
    <definedName name="OSRRefH22_8x_0" localSheetId="64">'309'!$H$44:$H$45</definedName>
    <definedName name="OSRRefH22_8x_0" localSheetId="63">'310'!$H$64</definedName>
    <definedName name="OSRRefH22_8x_0" localSheetId="69">'310 &amp; 491'!$H$64:$H$65</definedName>
    <definedName name="OSRRefH22_8x_0" localSheetId="52">'311'!$H$70</definedName>
    <definedName name="OSRRefH22_8x_0" localSheetId="57">'315'!$H$77:$H$78</definedName>
    <definedName name="OSRRefH22_8x_0" localSheetId="60">'316'!$H$63</definedName>
    <definedName name="OSRRefH22_8x_0" localSheetId="62">'317'!$H$69:$H$70</definedName>
    <definedName name="OSRRefH22_8x_0" localSheetId="65">'321'!$H$59</definedName>
    <definedName name="OSRRefH22_8x_0" localSheetId="66">'325'!$H$59</definedName>
    <definedName name="OSRRefH22_8x_0" localSheetId="58">'326'!$H$62</definedName>
    <definedName name="OSRRefH22_8x_0" localSheetId="56">'331'!$H$77:$H$78</definedName>
    <definedName name="OSRRefH22_8x_0" localSheetId="59">'332'!$H$63</definedName>
    <definedName name="OSRRefH22_8x_0" localSheetId="54">'333'!$H$80:$H$81</definedName>
    <definedName name="OSRRefH22_8x_0" localSheetId="71">'405'!$H$61</definedName>
    <definedName name="OSRRefH22_8x_0" localSheetId="73">'411'!$H$54:$H$57</definedName>
    <definedName name="OSRRefH22_8x_0" localSheetId="77">'415'!$H$61</definedName>
    <definedName name="OSRRefH22_8x_0" localSheetId="78">'418'!$H$59:$H$60</definedName>
    <definedName name="OSRRefH22_8x_0" localSheetId="83">'430'!$H$55</definedName>
    <definedName name="OSRRefH22_8x_0" localSheetId="84">'433'!$H$61</definedName>
    <definedName name="OSRRefH22_8x_0" localSheetId="86">'444'!$H$61</definedName>
    <definedName name="OSRRefH22_8x_0" localSheetId="87">'450'!$H$61</definedName>
    <definedName name="OSRRefH22_8x_0" localSheetId="70">'491'!$H$62:$H$63</definedName>
    <definedName name="OSRRefH22_8x_0" localSheetId="82">'492'!$H$61</definedName>
    <definedName name="OSRRefH22_8x_0" localSheetId="89">'501'!$H$56</definedName>
    <definedName name="OSRRefH22_8x_0" localSheetId="39">'Div 2'!$H$56</definedName>
    <definedName name="OSRRefH22_8x_0" localSheetId="47">'Div 3'!$H$96</definedName>
    <definedName name="OSRRefH22_8x_0" localSheetId="68">'Div 4'!$H$64</definedName>
    <definedName name="OSRRefH22_8x_0" localSheetId="88">'Div 5'!$H$56</definedName>
    <definedName name="OSRRefH22_8x_0" localSheetId="61">'Div 6'!$H$69:$H$70</definedName>
    <definedName name="OSRRefH22_8x_0" localSheetId="2">Summary!$H$102</definedName>
    <definedName name="OSRRefH22_9x_0" localSheetId="41">'201'!$H$55:$H$57</definedName>
    <definedName name="OSRRefH22_9x_0" localSheetId="42">'202'!$H$57</definedName>
    <definedName name="OSRRefH22_9x_0" localSheetId="43">'203'!$H$58:$H$59</definedName>
    <definedName name="OSRRefH22_9x_0" localSheetId="44">'204'!$H$61</definedName>
    <definedName name="OSRRefH22_9x_0" localSheetId="48">'300'!$H$92</definedName>
    <definedName name="OSRRefH22_9x_0" localSheetId="49">'300 &amp; 317'!$H$98</definedName>
    <definedName name="OSRRefH22_9x_0" localSheetId="50">'301'!$H$59</definedName>
    <definedName name="OSRRefH22_9x_0" localSheetId="55">'307'!$H$69:$H$70</definedName>
    <definedName name="OSRRefH22_9x_0" localSheetId="51">'308'!$H$72:$H$74</definedName>
    <definedName name="OSRRefH22_9x_0" localSheetId="64">'309'!$H$47:$H$48</definedName>
    <definedName name="OSRRefH22_9x_0" localSheetId="63">'310'!$H$66</definedName>
    <definedName name="OSRRefH22_9x_0" localSheetId="69">'310 &amp; 491'!$H$67</definedName>
    <definedName name="OSRRefH22_9x_0" localSheetId="52">'311'!$H$72:$H$74</definedName>
    <definedName name="OSRRefH22_9x_0" localSheetId="57">'315'!$H$80</definedName>
    <definedName name="OSRRefH22_9x_0" localSheetId="60">'316'!$H$65:$H$68</definedName>
    <definedName name="OSRRefH22_9x_0" localSheetId="62">'317'!$H$72</definedName>
    <definedName name="OSRRefH22_9x_0" localSheetId="65">'321'!$H$61:$H$62</definedName>
    <definedName name="OSRRefH22_9x_0" localSheetId="66">'325'!$H$61</definedName>
    <definedName name="OSRRefH22_9x_0" localSheetId="58">'326'!$H$64</definedName>
    <definedName name="OSRRefH22_9x_0" localSheetId="56">'331'!$H$80:$H$81</definedName>
    <definedName name="OSRRefH22_9x_0" localSheetId="59">'332'!$H$65:$H$68</definedName>
    <definedName name="OSRRefH22_9x_0" localSheetId="54">'333'!$H$83:$H$84</definedName>
    <definedName name="OSRRefH22_9x_0" localSheetId="71">'405'!$H$63:$H$64</definedName>
    <definedName name="OSRRefH22_9x_0" localSheetId="73">'411'!$H$59:$H$61</definedName>
    <definedName name="OSRRefH22_9x_0" localSheetId="77">'415'!$H$63</definedName>
    <definedName name="OSRRefH22_9x_0" localSheetId="78">'418'!$H$62:$H$65</definedName>
    <definedName name="OSRRefH22_9x_0" localSheetId="84">'433'!$H$63</definedName>
    <definedName name="OSRRefH22_9x_0" localSheetId="86">'444'!$H$63</definedName>
    <definedName name="OSRRefH22_9x_0" localSheetId="87">'450'!$H$63</definedName>
    <definedName name="OSRRefH22_9x_0" localSheetId="70">'491'!$H$65</definedName>
    <definedName name="OSRRefH22_9x_0" localSheetId="82">'492'!$H$63</definedName>
    <definedName name="OSRRefH22_9x_0" localSheetId="89">'501'!$H$58:$H$60</definedName>
    <definedName name="OSRRefH22_9x_0" localSheetId="39">'Div 2'!$H$58</definedName>
    <definedName name="OSRRefH22_9x_0" localSheetId="47">'Div 3'!$H$98</definedName>
    <definedName name="OSRRefH22_9x_0" localSheetId="68">'Div 4'!$H$66:$H$67</definedName>
    <definedName name="OSRRefH22_9x_0" localSheetId="88">'Div 5'!$H$58:$H$60</definedName>
    <definedName name="OSRRefH22_9x_0" localSheetId="61">'Div 6'!$H$72</definedName>
    <definedName name="OSRRefH22_9x_0" localSheetId="2">Summary!$H$104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'201'!$H$20:$H$28,'201'!$H$30:$H$39,'201'!$H$41,'201'!$H$43,'201'!$H$45,'201'!$H$47,'201'!$H$49,'201'!$H$51,'201'!$H$53,'201'!$H$55:$H$57,'201'!$H$59:$H$60,'201'!$H$62,'201'!$H$64:$H$65,'201'!$H$67,'201'!$H$69,'201'!$H$71</definedName>
    <definedName name="OSRRefH22x_0" localSheetId="42">'202'!$H$20:$H$28,'202'!$H$30:$H$39,'202'!$H$41,'202'!$H$43,'202'!$H$45,'202'!$H$47,'202'!$H$49,'202'!$H$51:$H$53,'202'!$H$55,'202'!$H$57,'202'!$H$59,'202'!$H$61,'202'!$H$63</definedName>
    <definedName name="OSRRefH22x_0" localSheetId="43">'203'!$H$20:$H$29,'203'!$H$31:$H$40,'203'!$H$42,'203'!$H$44,'203'!$H$46,'203'!$H$48,'203'!$H$50,'203'!$H$52,'203'!$H$54:$H$56,'203'!$H$58:$H$59,'203'!$H$61:$H$62,'203'!$H$64:$H$67,'203'!$H$69,'203'!$H$71,'203'!$H$73</definedName>
    <definedName name="OSRRefH22x_0" localSheetId="44">'204'!$H$20:$H$28,'204'!$H$30:$H$39,'204'!$H$41,'204'!$H$43:$H$44,'204'!$H$46,'204'!$H$48:$H$51,'204'!$H$53:$H$54,'204'!$H$56,'204'!$H$58:$H$59,'204'!$H$61,'204'!$H$63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$93,'301'!$H$95</definedName>
    <definedName name="OSRRefH22x_0" localSheetId="55">'307'!$H$34:$H$41,'307'!$H$43:$H$52,'307'!$H$54,'307'!$H$56,'307'!$H$58,'307'!$H$60:$H$61,'307'!$H$63,'307'!$H$65,'307'!$H$67,'307'!$H$69:$H$70,'307'!$H$72:$H$73,'307'!$H$75,'307'!$H$77:$H$80,'307'!$H$82</definedName>
    <definedName name="OSRRefH22x_0" localSheetId="51">'308'!$H$35:$H$44,'308'!$H$46:$H$55,'308'!$H$57,'308'!$H$59,'308'!$H$61,'308'!$H$63,'308'!$H$65:$H$66,'308'!$H$68,'308'!$H$70,'308'!$H$72:$H$74,'308'!$H$76:$H$77,'308'!$H$79:$H$80,'308'!$H$82:$H$83,'308'!$H$85</definedName>
    <definedName name="OSRRefH22x_0" localSheetId="64">'309'!$H$26:$H$27,'309'!$H$29:$H$30,'309'!$H$32,'309'!$H$34,'309'!$H$36,'309'!$H$38,'309'!$H$40,'309'!$H$42,'309'!$H$44:$H$45,'309'!$H$47:$H$48,'309'!$H$50:$H$51,'309'!$H$53,'309'!$H$55</definedName>
    <definedName name="OSRRefH22x_0" localSheetId="63">'310'!$H$29:$H$38,'310'!$H$40:$H$49,'310'!$H$51,'310'!$H$53,'310'!$H$55,'310'!$H$57:$H$58,'310'!$H$60,'310'!$H$62,'310'!$H$64,'310'!$H$66,'310'!$H$68,'310'!$H$70:$H$72,'310'!$H$74,'310'!$H$76:$H$78,'310'!$H$80:$H$84,'310'!$H$86:$H$87,'310'!$H$89,'310'!$H$91</definedName>
    <definedName name="OSRRefH22x_0" localSheetId="69">'310 &amp; 491'!$H$29:$H$38,'310 &amp; 491'!$H$40:$H$49,'310 &amp; 491'!$H$51,'310 &amp; 491'!$H$53,'310 &amp; 491'!$H$55,'310 &amp; 491'!$H$57:$H$58,'310 &amp; 491'!$H$60,'310 &amp; 491'!$H$62,'310 &amp; 491'!$H$64:$H$65,'310 &amp; 491'!$H$67,'310 &amp; 491'!$H$69,'310 &amp; 491'!$H$71,'310 &amp; 491'!$H$73:$H$76,'310 &amp; 491'!$H$78:$H$79,'310 &amp; 491'!$H$81:$H$85,'310 &amp; 491'!$H$87,'310 &amp; 491'!$H$89:$H$98,'310 &amp; 491'!$H$100:$H$101,'310 &amp; 491'!$H$103,'310 &amp; 491'!$H$105:$H$106,'310 &amp; 491'!$H$108</definedName>
    <definedName name="OSRRefH22x_0" localSheetId="52">'311'!$H$35:$H$44,'311'!$H$46:$H$55,'311'!$H$57,'311'!$H$59,'311'!$H$61,'311'!$H$63,'311'!$H$65:$H$66,'311'!$H$68,'311'!$H$70,'311'!$H$72:$H$74,'311'!$H$76:$H$77,'311'!$H$79:$H$80,'311'!$H$82:$H$83,'311'!$H$85</definedName>
    <definedName name="OSRRefH22x_0" localSheetId="57">'315'!$H$44:$H$52,'315'!$H$54:$H$63,'315'!$H$65,'315'!$H$67,'315'!$H$69,'315'!$H$71,'315'!$H$73,'315'!$H$75,'315'!$H$77:$H$78,'315'!$H$80,'315'!$H$82,'315'!$H$84,'315'!$H$86:$H$87,'315'!$H$89:$H$91,'315'!$H$93:$H$94,'315'!$H$96:$H$99,'315'!$H$101,'315'!$H$103,'315'!$H$105</definedName>
    <definedName name="OSRRefH22x_0" localSheetId="60">'316'!$H$27:$H$35,'316'!$H$37:$H$46,'316'!$H$48,'316'!$H$50,'316'!$H$52,'316'!$H$54:$H$55,'316'!$H$57,'316'!$H$59:$H$61,'316'!$H$63,'316'!$H$65:$H$68,'316'!$H$70</definedName>
    <definedName name="OSRRefH22x_0" localSheetId="62">'317'!$H$35:$H$44,'317'!$H$46:$H$55,'317'!$H$57,'317'!$H$59,'317'!$H$61,'317'!$H$63,'317'!$H$65,'317'!$H$67,'317'!$H$69:$H$70,'317'!$H$72</definedName>
    <definedName name="OSRRefH22x_0" localSheetId="65">'321'!$H$24:$H$33,'321'!$H$35:$H$44,'321'!$H$46,'321'!$H$48,'321'!$H$50,'321'!$H$52,'321'!$H$54,'321'!$H$56:$H$57,'321'!$H$59,'321'!$H$61:$H$62,'321'!$H$64:$H$67,'321'!$H$69,'321'!$H$71</definedName>
    <definedName name="OSRRefH22x_0" localSheetId="66">'325'!$H$25:$H$33,'325'!$H$35:$H$44,'325'!$H$46,'325'!$H$48,'325'!$H$50,'325'!$H$52:$H$53,'325'!$H$55,'325'!$H$57,'325'!$H$59,'325'!$H$61,'325'!$H$63,'325'!$H$65:$H$67,'325'!$H$69:$H$71,'325'!$H$73:$H$77,'325'!$H$79:$H$80,'325'!$H$82,'325'!$H$84</definedName>
    <definedName name="OSRRefH22x_0" localSheetId="58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67">'327'!$H$26,'327'!$H$28</definedName>
    <definedName name="OSRRefH22x_0" localSheetId="56">'331'!$H$44:$H$52,'331'!$H$54:$H$63,'331'!$H$65,'331'!$H$67,'331'!$H$69,'331'!$H$71,'331'!$H$73,'331'!$H$75,'331'!$H$77:$H$78,'331'!$H$80:$H$81,'331'!$H$83,'331'!$H$85,'331'!$H$87,'331'!$H$89,'331'!$H$91:$H$92,'331'!$H$94:$H$96,'331'!$H$98:$H$99,'331'!$H$101:$H$102,'331'!$H$104:$H$108,'331'!$H$110,'331'!$H$112,'331'!$H$114:$H$115,'331'!$H$117</definedName>
    <definedName name="OSRRefH22x_0" localSheetId="59">'332'!$H$27:$H$35,'332'!$H$37:$H$46,'332'!$H$48,'332'!$H$50,'332'!$H$52,'332'!$H$54:$H$55,'332'!$H$57,'332'!$H$59:$H$61,'332'!$H$63,'332'!$H$65:$H$68,'332'!$H$70</definedName>
    <definedName name="OSRRefH22x_0" localSheetId="54">'333'!$H$46:$H$54,'333'!$H$56:$H$65,'333'!$H$67,'333'!$H$69,'333'!$H$71,'333'!$H$73:$H$74,'333'!$H$76,'333'!$H$78,'333'!$H$80:$H$81,'333'!$H$83:$H$84,'333'!$H$86,'333'!$H$88,'333'!$H$90,'333'!$H$92,'333'!$H$94:$H$95,'333'!$H$97:$H$99,'333'!$H$101:$H$103,'333'!$H$105:$H$106,'333'!$H$108:$H$113,'333'!$H$115,'333'!$H$117,'333'!$H$119:$H$120,'333'!$H$122</definedName>
    <definedName name="OSRRefH22x_0" localSheetId="71">'405'!$H$27:$H$35,'405'!$H$37:$H$46,'405'!$H$48,'405'!$H$50,'405'!$H$52,'405'!$H$54:$H$55,'405'!$H$57,'405'!$H$59,'405'!$H$61,'405'!$H$63:$H$64,'405'!$H$66:$H$69,'405'!$H$71,'405'!$H$73:$H$80,'405'!$H$82,'405'!$H$84,'405'!$H$86,'405'!$H$88</definedName>
    <definedName name="OSRRefH22x_0" localSheetId="72">'406'!$H$20,'406'!$H$22</definedName>
    <definedName name="OSRRefH22x_0" localSheetId="73">'411'!$H$20:$H$28,'411'!$H$30:$H$39,'411'!$H$41,'411'!$H$43:$H$44,'411'!$H$46,'411'!$H$48,'411'!$H$50,'411'!$H$52,'411'!$H$54:$H$57,'411'!$H$59:$H$61,'411'!$H$63:$H$64,'411'!$H$66,'411'!$H$68,'411'!$H$70:$H$71,'411'!$H$73</definedName>
    <definedName name="OSRRefH22x_0" localSheetId="74">'412'!$H$20,'412'!$H$22,'412'!$H$24,'412'!$H$26</definedName>
    <definedName name="OSRRefH22x_0" localSheetId="75">'413'!$H$20,'413'!$H$22,'413'!$H$24</definedName>
    <definedName name="OSRRefH22x_0" localSheetId="76">'414'!$H$20,'414'!$H$22,'414'!$H$24</definedName>
    <definedName name="OSRRefH22x_0" localSheetId="77">'415'!$H$27:$H$35,'415'!$H$37:$H$46,'415'!$H$48,'415'!$H$50,'415'!$H$52,'415'!$H$54:$H$55,'415'!$H$57,'415'!$H$59,'415'!$H$61,'415'!$H$63,'415'!$H$65,'415'!$H$67:$H$68,'415'!$H$70:$H$73,'415'!$H$75,'415'!$H$77:$H$83,'415'!$H$85:$H$86,'415'!$H$88,'415'!$H$90</definedName>
    <definedName name="OSRRefH22x_0" localSheetId="78">'418'!$H$24:$H$32,'418'!$H$34:$H$43,'418'!$H$45,'418'!$H$47,'418'!$H$49:$H$50,'418'!$H$52,'418'!$H$54,'418'!$H$56:$H$57,'418'!$H$59:$H$60,'418'!$H$62:$H$65,'418'!$H$67,'418'!$H$69:$H$76,'418'!$H$78:$H$79,'418'!$H$81,'418'!$H$83</definedName>
    <definedName name="OSRRefH22x_0" localSheetId="79">'423'!$H$20:$H$27,'423'!$H$29:$H$38,'423'!$H$40,'423'!$H$42,'423'!$H$44,'423'!$H$46</definedName>
    <definedName name="OSRRefH22x_0" localSheetId="80">'424'!$H$20,'424'!$H$22,'424'!$H$24</definedName>
    <definedName name="OSRRefH22x_0" localSheetId="81">'425'!$H$22,'425'!$H$24,'425'!$H$26,'425'!$H$28,'425'!$H$30,'425'!$H$32</definedName>
    <definedName name="OSRRefH22x_0" localSheetId="83">'430'!$H$20:$H$28,'430'!$H$30:$H$39,'430'!$H$41,'430'!$H$43,'430'!$H$45,'430'!$H$47:$H$48,'430'!$H$50:$H$51,'430'!$H$53,'430'!$H$55</definedName>
    <definedName name="OSRRefH22x_0" localSheetId="84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85">'435'!$H$20</definedName>
    <definedName name="OSRRefH22x_0" localSheetId="86">'444'!$H$27:$H$36,'444'!$H$38:$H$47,'444'!$H$49,'444'!$H$51,'444'!$H$53,'444'!$H$55,'444'!$H$57,'444'!$H$59,'444'!$H$61,'444'!$H$63,'444'!$H$65,'444'!$H$67:$H$68,'444'!$H$70:$H$73,'444'!$H$75,'444'!$H$77:$H$85,'444'!$H$87,'444'!$H$89</definedName>
    <definedName name="OSRRefH22x_0" localSheetId="87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0">'491'!$H$28:$H$36,'491'!$H$38:$H$47,'491'!$H$49,'491'!$H$51,'491'!$H$53,'491'!$H$55:$H$56,'491'!$H$58,'491'!$H$60,'491'!$H$62:$H$63,'491'!$H$65,'491'!$H$67,'491'!$H$69,'491'!$H$71:$H$74,'491'!$H$76,'491'!$H$78:$H$82,'491'!$H$84,'491'!$H$86:$H$95,'491'!$H$97:$H$98,'491'!$H$100,'491'!$H$102:$H$103,'491'!$H$105</definedName>
    <definedName name="OSRRefH22x_0" localSheetId="82">'492'!$H$27:$H$36,'492'!$H$38:$H$47,'492'!$H$49,'492'!$H$51,'492'!$H$53,'492'!$H$55,'492'!$H$57,'492'!$H$59,'492'!$H$61,'492'!$H$63,'492'!$H$65,'492'!$H$67,'492'!$H$69:$H$71,'492'!$H$73:$H$76,'492'!$H$78,'492'!$H$80:$H$88,'492'!$H$90:$H$91,'492'!$H$93,'492'!$H$95:$H$96</definedName>
    <definedName name="OSRRefH22x_0" localSheetId="89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2'!$H$77:$H$78,'Div 2'!$H$80:$H$85,'Div 2'!$H$87:$H$88,'Div 2'!$H$90,'Div 2'!$H$92:$H$93</definedName>
    <definedName name="OSRRefH22x_0" localSheetId="47">'Div 3'!$H$60:$H$69,'Div 3'!$H$71:$H$80,'Div 3'!$H$82,'Div 3'!$H$84,'Div 3'!$H$86,'Div 3'!$H$88:$H$89,'Div 3'!$H$91:$H$92,'Div 3'!$H$94,'Div 3'!$H$96,'Div 3'!$H$98,'Div 3'!$H$100:$H$101,'Div 3'!$H$103:$H$104,'Div 3'!$H$106,'Div 3'!$H$108,'Div 3'!$H$110,'Div 3'!$H$112,'Div 3'!$H$114,'Div 3'!$H$116:$H$119,'Div 3'!$H$121:$H$124,'Div 3'!$H$126:$H$129,'Div 3'!$H$131:$H$132,'Div 3'!$H$134:$H$140,'Div 3'!$H$142:$H$143,'Div 3'!$H$145,'Div 3'!$H$147:$H$149,'Div 3'!$H$151</definedName>
    <definedName name="OSRRefH22x_0" localSheetId="68">'Div 4'!$H$29:$H$38,'Div 4'!$H$40:$H$49,'Div 4'!$H$51,'Div 4'!$H$53,'Div 4'!$H$55,'Div 4'!$H$57:$H$58,'Div 4'!$H$60,'Div 4'!$H$62,'Div 4'!$H$64,'Div 4'!$H$66:$H$67,'Div 4'!$H$69,'Div 4'!$H$71,'Div 4'!$H$73,'Div 4'!$H$75,'Div 4'!$H$77:$H$80,'Div 4'!$H$82,'Div 4'!$H$84:$H$88,'Div 4'!$H$90:$H$91,'Div 4'!$H$93:$H$102,'Div 4'!$H$104:$H$105,'Div 4'!$H$107,'Div 4'!$H$109:$H$110,'Div 4'!$H$112</definedName>
    <definedName name="OSRRefH22x_0" localSheetId="88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1">'Div 6'!$H$35:$H$44,'Div 6'!$H$46:$H$55,'Div 6'!$H$57,'Div 6'!$H$59,'Div 6'!$H$61,'Div 6'!$H$63,'Div 6'!$H$65,'Div 6'!$H$67,'Div 6'!$H$69:$H$70,'Div 6'!$H$72</definedName>
    <definedName name="OSRRefH22x_0" localSheetId="2">Summary!$H$66:$H$75,Summary!$H$77:$H$86,Summary!$H$88,Summary!$H$90,Summary!$H$92,Summary!$H$94:$H$95,Summary!$H$97:$H$98,Summary!$H$100,Summary!$H$102,Summary!$H$104,Summary!$H$106:$H$107,Summary!$H$109:$H$111,Summary!$H$113,Summary!$H$115,Summary!$H$117,Summary!$H$119,Summary!$H$121,Summary!$H$123,Summary!$H$125:$H$128,Summary!$H$130:$H$133,Summary!$H$135:$H$139,Summary!$H$141:$H$142,Summary!$H$144:$H$153,Summary!$H$155:$H$156,Summary!$H$158,Summary!$H$160:$H$162,Summary!$H$164</definedName>
    <definedName name="OSRRefH25x_0" localSheetId="48">'300'!$H$145:$H$149</definedName>
    <definedName name="OSRRefH25x_0" localSheetId="49">'300 &amp; 317'!$H$151:$H$157</definedName>
    <definedName name="OSRRefH25x_0" localSheetId="50">'301'!$H$98:$H$99</definedName>
    <definedName name="OSRRefH25x_0" localSheetId="51">'308'!$H$88:$H$91</definedName>
    <definedName name="OSRRefH25x_0" localSheetId="69">'310 &amp; 491'!$H$111:$H$114</definedName>
    <definedName name="OSRRefH25x_0" localSheetId="52">'311'!$H$88:$H$91</definedName>
    <definedName name="OSRRefH25x_0" localSheetId="57">'315'!$H$108:$H$110</definedName>
    <definedName name="OSRRefH25x_0" localSheetId="60">'316'!$H$73</definedName>
    <definedName name="OSRRefH25x_0" localSheetId="62">'317'!$H$75:$H$77</definedName>
    <definedName name="OSRRefH25x_0" localSheetId="56">'331'!$H$120:$H$122</definedName>
    <definedName name="OSRRefH25x_0" localSheetId="59">'332'!$H$73</definedName>
    <definedName name="OSRRefH25x_0" localSheetId="54">'333'!$H$125:$H$127</definedName>
    <definedName name="OSRRefH25x_0" localSheetId="71">'405'!$H$91</definedName>
    <definedName name="OSRRefH25x_0" localSheetId="73">'411'!$H$76</definedName>
    <definedName name="OSRRefH25x_0" localSheetId="77">'415'!$H$93</definedName>
    <definedName name="OSRRefH25x_0" localSheetId="78">'418'!$H$86</definedName>
    <definedName name="OSRRefH25x_0" localSheetId="79">'423'!$H$49:$H$51</definedName>
    <definedName name="OSRRefH25x_0" localSheetId="70">'491'!$H$108:$H$111</definedName>
    <definedName name="OSRRefH25x_0" localSheetId="89">'501'!$H$73</definedName>
    <definedName name="OSRRefH25x_0" localSheetId="47">'Div 3'!$H$154:$H$158</definedName>
    <definedName name="OSRRefH25x_0" localSheetId="68">'Div 4'!$H$115:$H$118</definedName>
    <definedName name="OSRRefH25x_0" localSheetId="88">'Div 5'!$H$73</definedName>
    <definedName name="OSRRefH25x_0" localSheetId="61">'Div 6'!$H$75:$H$77</definedName>
    <definedName name="OSRRefH25x_0" localSheetId="2">Summary!$H$167:$H$174</definedName>
    <definedName name="OSRRefP13x_0" localSheetId="48">'300'!$P$13:$P$19</definedName>
    <definedName name="OSRRefP13x_0" localSheetId="49">'300 &amp; 317'!$P$13:$P$19</definedName>
    <definedName name="OSRRefP13x_0" localSheetId="55">'307'!$P$13:$P$16</definedName>
    <definedName name="OSRRefP13x_0" localSheetId="51">'308'!$P$13:$P$17</definedName>
    <definedName name="OSRRefP13x_0" localSheetId="64">'309'!$P$13:$P$16</definedName>
    <definedName name="OSRRefP13x_0" localSheetId="63">'310'!$P$13:$P$18</definedName>
    <definedName name="OSRRefP13x_0" localSheetId="69">'310 &amp; 491'!$P$13:$P$18</definedName>
    <definedName name="OSRRefP13x_0" localSheetId="52">'311'!$P$13:$P$17</definedName>
    <definedName name="OSRRefP13x_0" localSheetId="57">'315'!$P$13:$P$17</definedName>
    <definedName name="OSRRefP13x_0" localSheetId="60">'316'!$P$13:$P$17</definedName>
    <definedName name="OSRRefP13x_0" localSheetId="62">'317'!$P$13:$P$17</definedName>
    <definedName name="OSRRefP13x_0" localSheetId="65">'321'!$P$13:$P$14</definedName>
    <definedName name="OSRRefP13x_0" localSheetId="53">'324'!$P$13:$P$14</definedName>
    <definedName name="OSRRefP13x_0" localSheetId="66">'325'!$P$13:$P$14</definedName>
    <definedName name="OSRRefP13x_0" localSheetId="58">'326'!$P$13:$P$16</definedName>
    <definedName name="OSRRefP13x_0" localSheetId="67">'327'!$P$13:$P$15</definedName>
    <definedName name="OSRRefP13x_0" localSheetId="56">'331'!$P$13:$P$17</definedName>
    <definedName name="OSRRefP13x_0" localSheetId="59">'332'!$P$13:$P$17</definedName>
    <definedName name="OSRRefP13x_0" localSheetId="54">'333'!$P$13:$P$17</definedName>
    <definedName name="OSRRefP13x_0" localSheetId="71">'405'!$P$13:$P$16</definedName>
    <definedName name="OSRRefP13x_0" localSheetId="77">'415'!$P$13:$P$16</definedName>
    <definedName name="OSRRefP13x_0" localSheetId="78">'418'!$P$13:$P$14</definedName>
    <definedName name="OSRRefP13x_0" localSheetId="81">'425'!$P$13</definedName>
    <definedName name="OSRRefP13x_0" localSheetId="84">'433'!$P$13:$P$16</definedName>
    <definedName name="OSRRefP13x_0" localSheetId="86">'444'!$P$13:$P$16</definedName>
    <definedName name="OSRRefP13x_0" localSheetId="87">'450'!$P$13:$P$16</definedName>
    <definedName name="OSRRefP13x_0" localSheetId="70">'491'!$P$13:$P$17</definedName>
    <definedName name="OSRRefP13x_0" localSheetId="82">'492'!$P$13:$P$16</definedName>
    <definedName name="OSRRefP13x_0" localSheetId="89">'501'!$P$13</definedName>
    <definedName name="OSRRefP13x_0" localSheetId="47">'Div 3'!$P$13:$P$23</definedName>
    <definedName name="OSRRefP13x_0" localSheetId="68">'Div 4'!$P$13:$P$18</definedName>
    <definedName name="OSRRefP13x_0" localSheetId="88">'Div 5'!$P$13</definedName>
    <definedName name="OSRRefP13x_0" localSheetId="61">'Div 6'!$P$13:$P$17</definedName>
    <definedName name="OSRRefP13x_0" localSheetId="2">Summary!$P$13:$P$23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5">'307'!$P$19:$P$28</definedName>
    <definedName name="OSRRefP16x_0" localSheetId="51">'308'!$P$20:$P$29</definedName>
    <definedName name="OSRRefP16x_0" localSheetId="64">'309'!$P$19:$P$20</definedName>
    <definedName name="OSRRefP16x_0" localSheetId="63">'310'!$P$21:$P$23</definedName>
    <definedName name="OSRRefP16x_0" localSheetId="69">'310 &amp; 491'!$P$21:$P$23</definedName>
    <definedName name="OSRRefP16x_0" localSheetId="52">'311'!$P$20:$P$29</definedName>
    <definedName name="OSRRefP16x_0" localSheetId="57">'315'!$P$20:$P$38</definedName>
    <definedName name="OSRRefP16x_0" localSheetId="60">'316'!$P$20:$P$21</definedName>
    <definedName name="OSRRefP16x_0" localSheetId="62">'317'!$P$20:$P$29</definedName>
    <definedName name="OSRRefP16x_0" localSheetId="65">'321'!$P$17:$P$18</definedName>
    <definedName name="OSRRefP16x_0" localSheetId="53">'324'!$P$17</definedName>
    <definedName name="OSRRefP16x_0" localSheetId="66">'325'!$P$17:$P$19</definedName>
    <definedName name="OSRRefP16x_0" localSheetId="58">'326'!$P$19:$P$22</definedName>
    <definedName name="OSRRefP16x_0" localSheetId="67">'327'!$P$18:$P$20</definedName>
    <definedName name="OSRRefP16x_0" localSheetId="56">'331'!$P$20:$P$38</definedName>
    <definedName name="OSRRefP16x_0" localSheetId="59">'332'!$P$20:$P$21</definedName>
    <definedName name="OSRRefP16x_0" localSheetId="54">'333'!$P$20:$P$40</definedName>
    <definedName name="OSRRefP16x_0" localSheetId="71">'405'!$P$19:$P$21</definedName>
    <definedName name="OSRRefP16x_0" localSheetId="77">'415'!$P$19:$P$21</definedName>
    <definedName name="OSRRefP16x_0" localSheetId="78">'418'!$P$17:$P$18</definedName>
    <definedName name="OSRRefP16x_0" localSheetId="81">'425'!$P$16</definedName>
    <definedName name="OSRRefP16x_0" localSheetId="84">'433'!$P$19:$P$21</definedName>
    <definedName name="OSRRefP16x_0" localSheetId="86">'444'!$P$19:$P$21</definedName>
    <definedName name="OSRRefP16x_0" localSheetId="87">'450'!$P$19:$P$21</definedName>
    <definedName name="OSRRefP16x_0" localSheetId="70">'491'!$P$20:$P$22</definedName>
    <definedName name="OSRRefP16x_0" localSheetId="82">'492'!$P$19:$P$21</definedName>
    <definedName name="OSRRefP16x_0" localSheetId="47">'Div 3'!$P$26:$P$54</definedName>
    <definedName name="OSRRefP16x_0" localSheetId="68">'Div 4'!$P$21:$P$23</definedName>
    <definedName name="OSRRefP16x_0" localSheetId="61">'Div 6'!$P$20:$P$29</definedName>
    <definedName name="OSRRefP16x_0" localSheetId="2">Summary!$P$26:$P$60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5">'307'!$P$34:$P$41</definedName>
    <definedName name="OSRRefP22_0x_0" localSheetId="51">'308'!$P$35:$P$44</definedName>
    <definedName name="OSRRefP22_0x_0" localSheetId="64">'309'!$P$26:$P$27</definedName>
    <definedName name="OSRRefP22_0x_0" localSheetId="63">'310'!$P$29:$P$38</definedName>
    <definedName name="OSRRefP22_0x_0" localSheetId="69">'310 &amp; 491'!$P$29:$P$38</definedName>
    <definedName name="OSRRefP22_0x_0" localSheetId="52">'311'!$P$35:$P$44</definedName>
    <definedName name="OSRRefP22_0x_0" localSheetId="57">'315'!$P$44:$P$52</definedName>
    <definedName name="OSRRefP22_0x_0" localSheetId="60">'316'!$P$27:$P$35</definedName>
    <definedName name="OSRRefP22_0x_0" localSheetId="62">'317'!$P$35:$P$44</definedName>
    <definedName name="OSRRefP22_0x_0" localSheetId="65">'321'!$P$24:$P$33</definedName>
    <definedName name="OSRRefP22_0x_0" localSheetId="66">'325'!$P$25:$P$33</definedName>
    <definedName name="OSRRefP22_0x_0" localSheetId="58">'326'!$P$28:$P$36</definedName>
    <definedName name="OSRRefP22_0x_0" localSheetId="67">'327'!$P$26</definedName>
    <definedName name="OSRRefP22_0x_0" localSheetId="56">'331'!$P$44:$P$52</definedName>
    <definedName name="OSRRefP22_0x_0" localSheetId="59">'332'!$P$27:$P$35</definedName>
    <definedName name="OSRRefP22_0x_0" localSheetId="54">'333'!$P$46:$P$54</definedName>
    <definedName name="OSRRefP22_0x_0" localSheetId="71">'405'!$P$27:$P$35</definedName>
    <definedName name="OSRRefP22_0x_0" localSheetId="72">'406'!$P$20</definedName>
    <definedName name="OSRRefP22_0x_0" localSheetId="73">'411'!$P$20:$P$28</definedName>
    <definedName name="OSRRefP22_0x_0" localSheetId="74">'412'!$P$20</definedName>
    <definedName name="OSRRefP22_0x_0" localSheetId="75">'413'!$P$20</definedName>
    <definedName name="OSRRefP22_0x_0" localSheetId="76">'414'!$P$20</definedName>
    <definedName name="OSRRefP22_0x_0" localSheetId="77">'415'!$P$27:$P$35</definedName>
    <definedName name="OSRRefP22_0x_0" localSheetId="78">'418'!$P$24:$P$32</definedName>
    <definedName name="OSRRefP22_0x_0" localSheetId="79">'423'!$P$20:$P$27</definedName>
    <definedName name="OSRRefP22_0x_0" localSheetId="80">'424'!$P$20</definedName>
    <definedName name="OSRRefP22_0x_0" localSheetId="81">'425'!$P$22</definedName>
    <definedName name="OSRRefP22_0x_0" localSheetId="83">'430'!$P$20:$P$28</definedName>
    <definedName name="OSRRefP22_0x_0" localSheetId="84">'433'!$P$27:$P$36</definedName>
    <definedName name="OSRRefP22_0x_0" localSheetId="85">'435'!$P$20</definedName>
    <definedName name="OSRRefP22_0x_0" localSheetId="86">'444'!$P$27:$P$36</definedName>
    <definedName name="OSRRefP22_0x_0" localSheetId="87">'450'!$P$27:$P$36</definedName>
    <definedName name="OSRRefP22_0x_0" localSheetId="70">'491'!$P$28:$P$36</definedName>
    <definedName name="OSRRefP22_0x_0" localSheetId="82">'492'!$P$27:$P$36</definedName>
    <definedName name="OSRRefP22_0x_0" localSheetId="89">'501'!$P$21:$P$30</definedName>
    <definedName name="OSRRefP22_0x_0" localSheetId="39">'Div 2'!$P$20:$P$30</definedName>
    <definedName name="OSRRefP22_0x_0" localSheetId="47">'Div 3'!$P$60:$P$69</definedName>
    <definedName name="OSRRefP22_0x_0" localSheetId="68">'Div 4'!$P$29:$P$38</definedName>
    <definedName name="OSRRefP22_0x_0" localSheetId="88">'Div 5'!$P$21:$P$30</definedName>
    <definedName name="OSRRefP22_0x_0" localSheetId="61">'Div 6'!$P$35:$P$44</definedName>
    <definedName name="OSRRefP22_0x_0" localSheetId="2">Summary!$P$66:$P$75</definedName>
    <definedName name="OSRRefP22_10x_0" localSheetId="41">'201'!$P$59:$P$60</definedName>
    <definedName name="OSRRefP22_10x_0" localSheetId="42">'202'!$P$59</definedName>
    <definedName name="OSRRefP22_10x_0" localSheetId="43">'203'!$P$61:$P$62</definedName>
    <definedName name="OSRRefP22_10x_0" localSheetId="44">'204'!$P$63</definedName>
    <definedName name="OSRRefP22_10x_0" localSheetId="48">'300'!$P$94:$P$95</definedName>
    <definedName name="OSRRefP22_10x_0" localSheetId="49">'300 &amp; 317'!$P$100:$P$101</definedName>
    <definedName name="OSRRefP22_10x_0" localSheetId="50">'301'!$P$61</definedName>
    <definedName name="OSRRefP22_10x_0" localSheetId="55">'307'!$P$72:$P$73</definedName>
    <definedName name="OSRRefP22_10x_0" localSheetId="51">'308'!$P$76:$P$77</definedName>
    <definedName name="OSRRefP22_10x_0" localSheetId="64">'309'!$P$50:$P$51</definedName>
    <definedName name="OSRRefP22_10x_0" localSheetId="63">'310'!$P$68</definedName>
    <definedName name="OSRRefP22_10x_0" localSheetId="69">'310 &amp; 491'!$P$69</definedName>
    <definedName name="OSRRefP22_10x_0" localSheetId="52">'311'!$P$76:$P$77</definedName>
    <definedName name="OSRRefP22_10x_0" localSheetId="57">'315'!$P$82</definedName>
    <definedName name="OSRRefP22_10x_0" localSheetId="60">'316'!$P$70</definedName>
    <definedName name="OSRRefP22_10x_0" localSheetId="65">'321'!$P$64:$P$67</definedName>
    <definedName name="OSRRefP22_10x_0" localSheetId="66">'325'!$P$63</definedName>
    <definedName name="OSRRefP22_10x_0" localSheetId="58">'326'!$P$66</definedName>
    <definedName name="OSRRefP22_10x_0" localSheetId="56">'331'!$P$83</definedName>
    <definedName name="OSRRefP22_10x_0" localSheetId="59">'332'!$P$70</definedName>
    <definedName name="OSRRefP22_10x_0" localSheetId="54">'333'!$P$86</definedName>
    <definedName name="OSRRefP22_10x_0" localSheetId="71">'405'!$P$66:$P$69</definedName>
    <definedName name="OSRRefP22_10x_0" localSheetId="73">'411'!$P$63:$P$64</definedName>
    <definedName name="OSRRefP22_10x_0" localSheetId="77">'415'!$P$65</definedName>
    <definedName name="OSRRefP22_10x_0" localSheetId="78">'418'!$P$67</definedName>
    <definedName name="OSRRefP22_10x_0" localSheetId="84">'433'!$P$65</definedName>
    <definedName name="OSRRefP22_10x_0" localSheetId="86">'444'!$P$65</definedName>
    <definedName name="OSRRefP22_10x_0" localSheetId="87">'450'!$P$65</definedName>
    <definedName name="OSRRefP22_10x_0" localSheetId="70">'491'!$P$67</definedName>
    <definedName name="OSRRefP22_10x_0" localSheetId="82">'492'!$P$65</definedName>
    <definedName name="OSRRefP22_10x_0" localSheetId="89">'501'!$P$62</definedName>
    <definedName name="OSRRefP22_10x_0" localSheetId="39">'Div 2'!$P$60</definedName>
    <definedName name="OSRRefP22_10x_0" localSheetId="47">'Div 3'!$P$100:$P$101</definedName>
    <definedName name="OSRRefP22_10x_0" localSheetId="68">'Div 4'!$P$69</definedName>
    <definedName name="OSRRefP22_10x_0" localSheetId="88">'Div 5'!$P$62</definedName>
    <definedName name="OSRRefP22_10x_0" localSheetId="2">Summary!$P$106:$P$107</definedName>
    <definedName name="OSRRefP22_11x_0" localSheetId="41">'201'!$P$62</definedName>
    <definedName name="OSRRefP22_11x_0" localSheetId="42">'202'!$P$61</definedName>
    <definedName name="OSRRefP22_11x_0" localSheetId="43">'203'!$P$64:$P$67</definedName>
    <definedName name="OSRRefP22_11x_0" localSheetId="48">'300'!$P$97:$P$98</definedName>
    <definedName name="OSRRefP22_11x_0" localSheetId="49">'300 &amp; 317'!$P$103:$P$104</definedName>
    <definedName name="OSRRefP22_11x_0" localSheetId="50">'301'!$P$63</definedName>
    <definedName name="OSRRefP22_11x_0" localSheetId="55">'307'!$P$75</definedName>
    <definedName name="OSRRefP22_11x_0" localSheetId="51">'308'!$P$79:$P$80</definedName>
    <definedName name="OSRRefP22_11x_0" localSheetId="64">'309'!$P$53</definedName>
    <definedName name="OSRRefP22_11x_0" localSheetId="63">'310'!$P$70:$P$72</definedName>
    <definedName name="OSRRefP22_11x_0" localSheetId="69">'310 &amp; 491'!$P$71</definedName>
    <definedName name="OSRRefP22_11x_0" localSheetId="52">'311'!$P$79:$P$80</definedName>
    <definedName name="OSRRefP22_11x_0" localSheetId="57">'315'!$P$84</definedName>
    <definedName name="OSRRefP22_11x_0" localSheetId="65">'321'!$P$69</definedName>
    <definedName name="OSRRefP22_11x_0" localSheetId="66">'325'!$P$65:$P$67</definedName>
    <definedName name="OSRRefP22_11x_0" localSheetId="58">'326'!$P$68:$P$69</definedName>
    <definedName name="OSRRefP22_11x_0" localSheetId="56">'331'!$P$85</definedName>
    <definedName name="OSRRefP22_11x_0" localSheetId="54">'333'!$P$88</definedName>
    <definedName name="OSRRefP22_11x_0" localSheetId="71">'405'!$P$71</definedName>
    <definedName name="OSRRefP22_11x_0" localSheetId="73">'411'!$P$66</definedName>
    <definedName name="OSRRefP22_11x_0" localSheetId="77">'415'!$P$67:$P$68</definedName>
    <definedName name="OSRRefP22_11x_0" localSheetId="78">'418'!$P$69:$P$76</definedName>
    <definedName name="OSRRefP22_11x_0" localSheetId="84">'433'!$P$67:$P$69</definedName>
    <definedName name="OSRRefP22_11x_0" localSheetId="86">'444'!$P$67:$P$68</definedName>
    <definedName name="OSRRefP22_11x_0" localSheetId="87">'450'!$P$67:$P$69</definedName>
    <definedName name="OSRRefP22_11x_0" localSheetId="70">'491'!$P$69</definedName>
    <definedName name="OSRRefP22_11x_0" localSheetId="82">'492'!$P$67</definedName>
    <definedName name="OSRRefP22_11x_0" localSheetId="89">'501'!$P$64:$P$66</definedName>
    <definedName name="OSRRefP22_11x_0" localSheetId="39">'Div 2'!$P$62</definedName>
    <definedName name="OSRRefP22_11x_0" localSheetId="47">'Div 3'!$P$103:$P$104</definedName>
    <definedName name="OSRRefP22_11x_0" localSheetId="68">'Div 4'!$P$71</definedName>
    <definedName name="OSRRefP22_11x_0" localSheetId="88">'Div 5'!$P$64:$P$66</definedName>
    <definedName name="OSRRefP22_11x_0" localSheetId="2">Summary!$P$109:$P$111</definedName>
    <definedName name="OSRRefP22_12x_0" localSheetId="41">'201'!$P$64:$P$65</definedName>
    <definedName name="OSRRefP22_12x_0" localSheetId="42">'202'!$P$63</definedName>
    <definedName name="OSRRefP22_12x_0" localSheetId="43">'203'!$P$69</definedName>
    <definedName name="OSRRefP22_12x_0" localSheetId="48">'300'!$P$100</definedName>
    <definedName name="OSRRefP22_12x_0" localSheetId="49">'300 &amp; 317'!$P$106</definedName>
    <definedName name="OSRRefP22_12x_0" localSheetId="50">'301'!$P$65</definedName>
    <definedName name="OSRRefP22_12x_0" localSheetId="55">'307'!$P$77:$P$80</definedName>
    <definedName name="OSRRefP22_12x_0" localSheetId="51">'308'!$P$82:$P$83</definedName>
    <definedName name="OSRRefP22_12x_0" localSheetId="64">'309'!$P$55</definedName>
    <definedName name="OSRRefP22_12x_0" localSheetId="63">'310'!$P$74</definedName>
    <definedName name="OSRRefP22_12x_0" localSheetId="69">'310 &amp; 491'!$P$73:$P$76</definedName>
    <definedName name="OSRRefP22_12x_0" localSheetId="52">'311'!$P$82:$P$83</definedName>
    <definedName name="OSRRefP22_12x_0" localSheetId="57">'315'!$P$86:$P$87</definedName>
    <definedName name="OSRRefP22_12x_0" localSheetId="65">'321'!$P$71</definedName>
    <definedName name="OSRRefP22_12x_0" localSheetId="66">'325'!$P$69:$P$71</definedName>
    <definedName name="OSRRefP22_12x_0" localSheetId="58">'326'!$P$71:$P$72</definedName>
    <definedName name="OSRRefP22_12x_0" localSheetId="56">'331'!$P$87</definedName>
    <definedName name="OSRRefP22_12x_0" localSheetId="54">'333'!$P$90</definedName>
    <definedName name="OSRRefP22_12x_0" localSheetId="71">'405'!$P$73:$P$80</definedName>
    <definedName name="OSRRefP22_12x_0" localSheetId="73">'411'!$P$68</definedName>
    <definedName name="OSRRefP22_12x_0" localSheetId="77">'415'!$P$70:$P$73</definedName>
    <definedName name="OSRRefP22_12x_0" localSheetId="78">'418'!$P$78:$P$79</definedName>
    <definedName name="OSRRefP22_12x_0" localSheetId="84">'433'!$P$71:$P$74</definedName>
    <definedName name="OSRRefP22_12x_0" localSheetId="86">'444'!$P$70:$P$73</definedName>
    <definedName name="OSRRefP22_12x_0" localSheetId="87">'450'!$P$71:$P$74</definedName>
    <definedName name="OSRRefP22_12x_0" localSheetId="70">'491'!$P$71:$P$74</definedName>
    <definedName name="OSRRefP22_12x_0" localSheetId="82">'492'!$P$69:$P$71</definedName>
    <definedName name="OSRRefP22_12x_0" localSheetId="89">'501'!$P$68</definedName>
    <definedName name="OSRRefP22_12x_0" localSheetId="39">'Div 2'!$P$64:$P$67</definedName>
    <definedName name="OSRRefP22_12x_0" localSheetId="47">'Div 3'!$P$106</definedName>
    <definedName name="OSRRefP22_12x_0" localSheetId="68">'Div 4'!$P$73</definedName>
    <definedName name="OSRRefP22_12x_0" localSheetId="88">'Div 5'!$P$68</definedName>
    <definedName name="OSRRefP22_12x_0" localSheetId="2">Summary!$P$113</definedName>
    <definedName name="OSRRefP22_13x_0" localSheetId="41">'201'!$P$67</definedName>
    <definedName name="OSRRefP22_13x_0" localSheetId="43">'203'!$P$71</definedName>
    <definedName name="OSRRefP22_13x_0" localSheetId="48">'300'!$P$102</definedName>
    <definedName name="OSRRefP22_13x_0" localSheetId="49">'300 &amp; 317'!$P$108</definedName>
    <definedName name="OSRRefP22_13x_0" localSheetId="50">'301'!$P$67</definedName>
    <definedName name="OSRRefP22_13x_0" localSheetId="55">'307'!$P$82</definedName>
    <definedName name="OSRRefP22_13x_0" localSheetId="51">'308'!$P$85</definedName>
    <definedName name="OSRRefP22_13x_0" localSheetId="63">'310'!$P$76:$P$78</definedName>
    <definedName name="OSRRefP22_13x_0" localSheetId="69">'310 &amp; 491'!$P$78:$P$79</definedName>
    <definedName name="OSRRefP22_13x_0" localSheetId="52">'311'!$P$85</definedName>
    <definedName name="OSRRefP22_13x_0" localSheetId="57">'315'!$P$89:$P$91</definedName>
    <definedName name="OSRRefP22_13x_0" localSheetId="66">'325'!$P$73:$P$77</definedName>
    <definedName name="OSRRefP22_13x_0" localSheetId="58">'326'!$P$74:$P$75</definedName>
    <definedName name="OSRRefP22_13x_0" localSheetId="56">'331'!$P$89</definedName>
    <definedName name="OSRRefP22_13x_0" localSheetId="54">'333'!$P$92</definedName>
    <definedName name="OSRRefP22_13x_0" localSheetId="71">'405'!$P$82</definedName>
    <definedName name="OSRRefP22_13x_0" localSheetId="73">'411'!$P$70:$P$71</definedName>
    <definedName name="OSRRefP22_13x_0" localSheetId="77">'415'!$P$75</definedName>
    <definedName name="OSRRefP22_13x_0" localSheetId="78">'418'!$P$81</definedName>
    <definedName name="OSRRefP22_13x_0" localSheetId="84">'433'!$P$76:$P$83</definedName>
    <definedName name="OSRRefP22_13x_0" localSheetId="86">'444'!$P$75</definedName>
    <definedName name="OSRRefP22_13x_0" localSheetId="87">'450'!$P$76:$P$82</definedName>
    <definedName name="OSRRefP22_13x_0" localSheetId="70">'491'!$P$76</definedName>
    <definedName name="OSRRefP22_13x_0" localSheetId="82">'492'!$P$73:$P$76</definedName>
    <definedName name="OSRRefP22_13x_0" localSheetId="89">'501'!$P$70</definedName>
    <definedName name="OSRRefP22_13x_0" localSheetId="39">'Div 2'!$P$69:$P$72</definedName>
    <definedName name="OSRRefP22_13x_0" localSheetId="47">'Div 3'!$P$108</definedName>
    <definedName name="OSRRefP22_13x_0" localSheetId="68">'Div 4'!$P$75</definedName>
    <definedName name="OSRRefP22_13x_0" localSheetId="88">'Div 5'!$P$70</definedName>
    <definedName name="OSRRefP22_13x_0" localSheetId="2">Summary!$P$115</definedName>
    <definedName name="OSRRefP22_14x_0" localSheetId="41">'201'!$P$69</definedName>
    <definedName name="OSRRefP22_14x_0" localSheetId="43">'203'!$P$73</definedName>
    <definedName name="OSRRefP22_14x_0" localSheetId="48">'300'!$P$104</definedName>
    <definedName name="OSRRefP22_14x_0" localSheetId="49">'300 &amp; 317'!$P$110</definedName>
    <definedName name="OSRRefP22_14x_0" localSheetId="50">'301'!$P$69</definedName>
    <definedName name="OSRRefP22_14x_0" localSheetId="63">'310'!$P$80:$P$84</definedName>
    <definedName name="OSRRefP22_14x_0" localSheetId="69">'310 &amp; 491'!$P$81:$P$85</definedName>
    <definedName name="OSRRefP22_14x_0" localSheetId="57">'315'!$P$93:$P$94</definedName>
    <definedName name="OSRRefP22_14x_0" localSheetId="66">'325'!$P$79:$P$80</definedName>
    <definedName name="OSRRefP22_14x_0" localSheetId="58">'326'!$P$77:$P$79</definedName>
    <definedName name="OSRRefP22_14x_0" localSheetId="56">'331'!$P$91:$P$92</definedName>
    <definedName name="OSRRefP22_14x_0" localSheetId="54">'333'!$P$94:$P$95</definedName>
    <definedName name="OSRRefP22_14x_0" localSheetId="71">'405'!$P$84</definedName>
    <definedName name="OSRRefP22_14x_0" localSheetId="73">'411'!$P$73</definedName>
    <definedName name="OSRRefP22_14x_0" localSheetId="77">'415'!$P$77:$P$83</definedName>
    <definedName name="OSRRefP22_14x_0" localSheetId="78">'418'!$P$83</definedName>
    <definedName name="OSRRefP22_14x_0" localSheetId="84">'433'!$P$85</definedName>
    <definedName name="OSRRefP22_14x_0" localSheetId="86">'444'!$P$77:$P$85</definedName>
    <definedName name="OSRRefP22_14x_0" localSheetId="87">'450'!$P$84</definedName>
    <definedName name="OSRRefP22_14x_0" localSheetId="70">'491'!$P$78:$P$82</definedName>
    <definedName name="OSRRefP22_14x_0" localSheetId="82">'492'!$P$78</definedName>
    <definedName name="OSRRefP22_14x_0" localSheetId="39">'Div 2'!$P$74:$P$75</definedName>
    <definedName name="OSRRefP22_14x_0" localSheetId="47">'Div 3'!$P$110</definedName>
    <definedName name="OSRRefP22_14x_0" localSheetId="68">'Div 4'!$P$77:$P$80</definedName>
    <definedName name="OSRRefP22_14x_0" localSheetId="2">Summary!$P$117</definedName>
    <definedName name="OSRRefP22_15x_0" localSheetId="41">'201'!$P$71</definedName>
    <definedName name="OSRRefP22_15x_0" localSheetId="48">'300'!$P$106</definedName>
    <definedName name="OSRRefP22_15x_0" localSheetId="49">'300 &amp; 317'!$P$112</definedName>
    <definedName name="OSRRefP22_15x_0" localSheetId="50">'301'!$P$71:$P$74</definedName>
    <definedName name="OSRRefP22_15x_0" localSheetId="63">'310'!$P$86:$P$87</definedName>
    <definedName name="OSRRefP22_15x_0" localSheetId="69">'310 &amp; 491'!$P$87</definedName>
    <definedName name="OSRRefP22_15x_0" localSheetId="57">'315'!$P$96:$P$99</definedName>
    <definedName name="OSRRefP22_15x_0" localSheetId="66">'325'!$P$82</definedName>
    <definedName name="OSRRefP22_15x_0" localSheetId="58">'326'!$P$81</definedName>
    <definedName name="OSRRefP22_15x_0" localSheetId="56">'331'!$P$94:$P$96</definedName>
    <definedName name="OSRRefP22_15x_0" localSheetId="54">'333'!$P$97:$P$99</definedName>
    <definedName name="OSRRefP22_15x_0" localSheetId="71">'405'!$P$86</definedName>
    <definedName name="OSRRefP22_15x_0" localSheetId="77">'415'!$P$85:$P$86</definedName>
    <definedName name="OSRRefP22_15x_0" localSheetId="84">'433'!$P$87</definedName>
    <definedName name="OSRRefP22_15x_0" localSheetId="86">'444'!$P$87</definedName>
    <definedName name="OSRRefP22_15x_0" localSheetId="87">'450'!$P$86</definedName>
    <definedName name="OSRRefP22_15x_0" localSheetId="70">'491'!$P$84</definedName>
    <definedName name="OSRRefP22_15x_0" localSheetId="82">'492'!$P$80:$P$88</definedName>
    <definedName name="OSRRefP22_15x_0" localSheetId="39">'Div 2'!$P$77:$P$78</definedName>
    <definedName name="OSRRefP22_15x_0" localSheetId="47">'Div 3'!$P$112</definedName>
    <definedName name="OSRRefP22_15x_0" localSheetId="68">'Div 4'!$P$82</definedName>
    <definedName name="OSRRefP22_15x_0" localSheetId="2">Summary!$P$119</definedName>
    <definedName name="OSRRefP22_16x_0" localSheetId="48">'300'!$P$108:$P$111</definedName>
    <definedName name="OSRRefP22_16x_0" localSheetId="49">'300 &amp; 317'!$P$114:$P$117</definedName>
    <definedName name="OSRRefP22_16x_0" localSheetId="50">'301'!$P$76:$P$77</definedName>
    <definedName name="OSRRefP22_16x_0" localSheetId="63">'310'!$P$89</definedName>
    <definedName name="OSRRefP22_16x_0" localSheetId="69">'310 &amp; 491'!$P$89:$P$98</definedName>
    <definedName name="OSRRefP22_16x_0" localSheetId="57">'315'!$P$101</definedName>
    <definedName name="OSRRefP22_16x_0" localSheetId="66">'325'!$P$84</definedName>
    <definedName name="OSRRefP22_16x_0" localSheetId="58">'326'!$P$83:$P$84</definedName>
    <definedName name="OSRRefP22_16x_0" localSheetId="56">'331'!$P$98:$P$99</definedName>
    <definedName name="OSRRefP22_16x_0" localSheetId="54">'333'!$P$101:$P$103</definedName>
    <definedName name="OSRRefP22_16x_0" localSheetId="71">'405'!$P$88</definedName>
    <definedName name="OSRRefP22_16x_0" localSheetId="77">'415'!$P$88</definedName>
    <definedName name="OSRRefP22_16x_0" localSheetId="86">'444'!$P$89</definedName>
    <definedName name="OSRRefP22_16x_0" localSheetId="87">'450'!$P$88</definedName>
    <definedName name="OSRRefP22_16x_0" localSheetId="70">'491'!$P$86:$P$95</definedName>
    <definedName name="OSRRefP22_16x_0" localSheetId="82">'492'!$P$90:$P$91</definedName>
    <definedName name="OSRRefP22_16x_0" localSheetId="39">'Div 2'!$P$80:$P$85</definedName>
    <definedName name="OSRRefP22_16x_0" localSheetId="47">'Div 3'!$P$114</definedName>
    <definedName name="OSRRefP22_16x_0" localSheetId="68">'Div 4'!$P$84:$P$88</definedName>
    <definedName name="OSRRefP22_16x_0" localSheetId="2">Summary!$P$121</definedName>
    <definedName name="OSRRefP22_17x_0" localSheetId="48">'300'!$P$113:$P$116</definedName>
    <definedName name="OSRRefP22_17x_0" localSheetId="49">'300 &amp; 317'!$P$119:$P$122</definedName>
    <definedName name="OSRRefP22_17x_0" localSheetId="50">'301'!$P$79</definedName>
    <definedName name="OSRRefP22_17x_0" localSheetId="63">'310'!$P$91</definedName>
    <definedName name="OSRRefP22_17x_0" localSheetId="69">'310 &amp; 491'!$P$100:$P$101</definedName>
    <definedName name="OSRRefP22_17x_0" localSheetId="57">'315'!$P$103</definedName>
    <definedName name="OSRRefP22_17x_0" localSheetId="58">'326'!$P$86</definedName>
    <definedName name="OSRRefP22_17x_0" localSheetId="56">'331'!$P$101:$P$102</definedName>
    <definedName name="OSRRefP22_17x_0" localSheetId="54">'333'!$P$105:$P$106</definedName>
    <definedName name="OSRRefP22_17x_0" localSheetId="77">'415'!$P$90</definedName>
    <definedName name="OSRRefP22_17x_0" localSheetId="70">'491'!$P$97:$P$98</definedName>
    <definedName name="OSRRefP22_17x_0" localSheetId="82">'492'!$P$93</definedName>
    <definedName name="OSRRefP22_17x_0" localSheetId="39">'Div 2'!$P$87:$P$88</definedName>
    <definedName name="OSRRefP22_17x_0" localSheetId="47">'Div 3'!$P$116:$P$119</definedName>
    <definedName name="OSRRefP22_17x_0" localSheetId="68">'Div 4'!$P$90:$P$91</definedName>
    <definedName name="OSRRefP22_17x_0" localSheetId="2">Summary!$P$123</definedName>
    <definedName name="OSRRefP22_18x_0" localSheetId="48">'300'!$P$118:$P$120</definedName>
    <definedName name="OSRRefP22_18x_0" localSheetId="49">'300 &amp; 317'!$P$124:$P$126</definedName>
    <definedName name="OSRRefP22_18x_0" localSheetId="50">'301'!$P$81:$P$86</definedName>
    <definedName name="OSRRefP22_18x_0" localSheetId="69">'310 &amp; 491'!$P$103</definedName>
    <definedName name="OSRRefP22_18x_0" localSheetId="57">'315'!$P$105</definedName>
    <definedName name="OSRRefP22_18x_0" localSheetId="56">'331'!$P$104:$P$108</definedName>
    <definedName name="OSRRefP22_18x_0" localSheetId="54">'333'!$P$108:$P$113</definedName>
    <definedName name="OSRRefP22_18x_0" localSheetId="70">'491'!$P$100</definedName>
    <definedName name="OSRRefP22_18x_0" localSheetId="82">'492'!$P$95:$P$96</definedName>
    <definedName name="OSRRefP22_18x_0" localSheetId="39">'Div 2'!$P$90</definedName>
    <definedName name="OSRRefP22_18x_0" localSheetId="47">'Div 3'!$P$121:$P$124</definedName>
    <definedName name="OSRRefP22_18x_0" localSheetId="68">'Div 4'!$P$93:$P$102</definedName>
    <definedName name="OSRRefP22_18x_0" localSheetId="2">Summary!$P$125:$P$128</definedName>
    <definedName name="OSRRefP22_19x_0" localSheetId="48">'300'!$P$122:$P$123</definedName>
    <definedName name="OSRRefP22_19x_0" localSheetId="49">'300 &amp; 317'!$P$128:$P$129</definedName>
    <definedName name="OSRRefP22_19x_0" localSheetId="50">'301'!$P$88</definedName>
    <definedName name="OSRRefP22_19x_0" localSheetId="69">'310 &amp; 491'!$P$105:$P$106</definedName>
    <definedName name="OSRRefP22_19x_0" localSheetId="56">'331'!$P$110</definedName>
    <definedName name="OSRRefP22_19x_0" localSheetId="54">'333'!$P$115</definedName>
    <definedName name="OSRRefP22_19x_0" localSheetId="70">'491'!$P$102:$P$103</definedName>
    <definedName name="OSRRefP22_19x_0" localSheetId="39">'Div 2'!$P$92:$P$93</definedName>
    <definedName name="OSRRefP22_19x_0" localSheetId="47">'Div 3'!$P$126:$P$129</definedName>
    <definedName name="OSRRefP22_19x_0" localSheetId="68">'Div 4'!$P$104:$P$105</definedName>
    <definedName name="OSRRefP22_19x_0" localSheetId="2">Summary!$P$130:$P$133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5">'307'!$P$43:$P$52</definedName>
    <definedName name="OSRRefP22_1x_0" localSheetId="51">'308'!$P$46:$P$55</definedName>
    <definedName name="OSRRefP22_1x_0" localSheetId="64">'309'!$P$29:$P$30</definedName>
    <definedName name="OSRRefP22_1x_0" localSheetId="63">'310'!$P$40:$P$49</definedName>
    <definedName name="OSRRefP22_1x_0" localSheetId="69">'310 &amp; 491'!$P$40:$P$49</definedName>
    <definedName name="OSRRefP22_1x_0" localSheetId="52">'311'!$P$46:$P$55</definedName>
    <definedName name="OSRRefP22_1x_0" localSheetId="57">'315'!$P$54:$P$63</definedName>
    <definedName name="OSRRefP22_1x_0" localSheetId="60">'316'!$P$37:$P$46</definedName>
    <definedName name="OSRRefP22_1x_0" localSheetId="62">'317'!$P$46:$P$55</definedName>
    <definedName name="OSRRefP22_1x_0" localSheetId="65">'321'!$P$35:$P$44</definedName>
    <definedName name="OSRRefP22_1x_0" localSheetId="66">'325'!$P$35:$P$44</definedName>
    <definedName name="OSRRefP22_1x_0" localSheetId="58">'326'!$P$38:$P$47</definedName>
    <definedName name="OSRRefP22_1x_0" localSheetId="67">'327'!$P$28</definedName>
    <definedName name="OSRRefP22_1x_0" localSheetId="56">'331'!$P$54:$P$63</definedName>
    <definedName name="OSRRefP22_1x_0" localSheetId="59">'332'!$P$37:$P$46</definedName>
    <definedName name="OSRRefP22_1x_0" localSheetId="54">'333'!$P$56:$P$65</definedName>
    <definedName name="OSRRefP22_1x_0" localSheetId="71">'405'!$P$37:$P$46</definedName>
    <definedName name="OSRRefP22_1x_0" localSheetId="72">'406'!$P$22</definedName>
    <definedName name="OSRRefP22_1x_0" localSheetId="73">'411'!$P$30:$P$39</definedName>
    <definedName name="OSRRefP22_1x_0" localSheetId="74">'412'!$P$22</definedName>
    <definedName name="OSRRefP22_1x_0" localSheetId="75">'413'!$P$22</definedName>
    <definedName name="OSRRefP22_1x_0" localSheetId="76">'414'!$P$22</definedName>
    <definedName name="OSRRefP22_1x_0" localSheetId="77">'415'!$P$37:$P$46</definedName>
    <definedName name="OSRRefP22_1x_0" localSheetId="78">'418'!$P$34:$P$43</definedName>
    <definedName name="OSRRefP22_1x_0" localSheetId="79">'423'!$P$29:$P$38</definedName>
    <definedName name="OSRRefP22_1x_0" localSheetId="80">'424'!$P$22</definedName>
    <definedName name="OSRRefP22_1x_0" localSheetId="81">'425'!$P$24</definedName>
    <definedName name="OSRRefP22_1x_0" localSheetId="83">'430'!$P$30:$P$39</definedName>
    <definedName name="OSRRefP22_1x_0" localSheetId="84">'433'!$P$38:$P$47</definedName>
    <definedName name="OSRRefP22_1x_0" localSheetId="86">'444'!$P$38:$P$47</definedName>
    <definedName name="OSRRefP22_1x_0" localSheetId="87">'450'!$P$38:$P$47</definedName>
    <definedName name="OSRRefP22_1x_0" localSheetId="70">'491'!$P$38:$P$47</definedName>
    <definedName name="OSRRefP22_1x_0" localSheetId="82">'492'!$P$38:$P$47</definedName>
    <definedName name="OSRRefP22_1x_0" localSheetId="89">'501'!$P$32:$P$41</definedName>
    <definedName name="OSRRefP22_1x_0" localSheetId="39">'Div 2'!$P$32:$P$41</definedName>
    <definedName name="OSRRefP22_1x_0" localSheetId="47">'Div 3'!$P$71:$P$80</definedName>
    <definedName name="OSRRefP22_1x_0" localSheetId="68">'Div 4'!$P$40:$P$49</definedName>
    <definedName name="OSRRefP22_1x_0" localSheetId="88">'Div 5'!$P$32:$P$41</definedName>
    <definedName name="OSRRefP22_1x_0" localSheetId="61">'Div 6'!$P$46:$P$55</definedName>
    <definedName name="OSRRefP22_1x_0" localSheetId="2">Summary!$P$77:$P$86</definedName>
    <definedName name="OSRRefP22_20x_0" localSheetId="48">'300'!$P$125:$P$131</definedName>
    <definedName name="OSRRefP22_20x_0" localSheetId="49">'300 &amp; 317'!$P$131:$P$137</definedName>
    <definedName name="OSRRefP22_20x_0" localSheetId="50">'301'!$P$90</definedName>
    <definedName name="OSRRefP22_20x_0" localSheetId="69">'310 &amp; 491'!$P$108</definedName>
    <definedName name="OSRRefP22_20x_0" localSheetId="56">'331'!$P$112</definedName>
    <definedName name="OSRRefP22_20x_0" localSheetId="54">'333'!$P$117</definedName>
    <definedName name="OSRRefP22_20x_0" localSheetId="70">'491'!$P$105</definedName>
    <definedName name="OSRRefP22_20x_0" localSheetId="47">'Div 3'!$P$131:$P$132</definedName>
    <definedName name="OSRRefP22_20x_0" localSheetId="68">'Div 4'!$P$107</definedName>
    <definedName name="OSRRefP22_20x_0" localSheetId="2">Summary!$P$135:$P$139</definedName>
    <definedName name="OSRRefP22_21x_0" localSheetId="48">'300'!$P$133:$P$134</definedName>
    <definedName name="OSRRefP22_21x_0" localSheetId="49">'300 &amp; 317'!$P$139:$P$140</definedName>
    <definedName name="OSRRefP22_21x_0" localSheetId="50">'301'!$P$92:$P$93</definedName>
    <definedName name="OSRRefP22_21x_0" localSheetId="56">'331'!$P$114:$P$115</definedName>
    <definedName name="OSRRefP22_21x_0" localSheetId="54">'333'!$P$119:$P$120</definedName>
    <definedName name="OSRRefP22_21x_0" localSheetId="47">'Div 3'!$P$134:$P$140</definedName>
    <definedName name="OSRRefP22_21x_0" localSheetId="68">'Div 4'!$P$109:$P$110</definedName>
    <definedName name="OSRRefP22_21x_0" localSheetId="2">Summary!$P$141:$P$142</definedName>
    <definedName name="OSRRefP22_22x_0" localSheetId="48">'300'!$P$136</definedName>
    <definedName name="OSRRefP22_22x_0" localSheetId="49">'300 &amp; 317'!$P$142</definedName>
    <definedName name="OSRRefP22_22x_0" localSheetId="50">'301'!$P$95</definedName>
    <definedName name="OSRRefP22_22x_0" localSheetId="56">'331'!$P$117</definedName>
    <definedName name="OSRRefP22_22x_0" localSheetId="54">'333'!$P$122</definedName>
    <definedName name="OSRRefP22_22x_0" localSheetId="47">'Div 3'!$P$142:$P$143</definedName>
    <definedName name="OSRRefP22_22x_0" localSheetId="68">'Div 4'!$P$112</definedName>
    <definedName name="OSRRefP22_22x_0" localSheetId="2">Summary!$P$144:$P$153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3'!$P$145</definedName>
    <definedName name="OSRRefP22_23x_0" localSheetId="2">Summary!$P$155:$P$156</definedName>
    <definedName name="OSRRefP22_24x_0" localSheetId="48">'300'!$P$142</definedName>
    <definedName name="OSRRefP22_24x_0" localSheetId="49">'300 &amp; 317'!$P$148</definedName>
    <definedName name="OSRRefP22_24x_0" localSheetId="47">'Div 3'!$P$147:$P$149</definedName>
    <definedName name="OSRRefP22_24x_0" localSheetId="2">Summary!$P$158</definedName>
    <definedName name="OSRRefP22_25x_0" localSheetId="47">'Div 3'!$P$151</definedName>
    <definedName name="OSRRefP22_25x_0" localSheetId="2">Summary!$P$160:$P$162</definedName>
    <definedName name="OSRRefP22_26x_0" localSheetId="2">Summary!$P$164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5">'307'!$P$54</definedName>
    <definedName name="OSRRefP22_2x_0" localSheetId="51">'308'!$P$57</definedName>
    <definedName name="OSRRefP22_2x_0" localSheetId="64">'309'!$P$32</definedName>
    <definedName name="OSRRefP22_2x_0" localSheetId="63">'310'!$P$51</definedName>
    <definedName name="OSRRefP22_2x_0" localSheetId="69">'310 &amp; 491'!$P$51</definedName>
    <definedName name="OSRRefP22_2x_0" localSheetId="52">'311'!$P$57</definedName>
    <definedName name="OSRRefP22_2x_0" localSheetId="57">'315'!$P$65</definedName>
    <definedName name="OSRRefP22_2x_0" localSheetId="60">'316'!$P$48</definedName>
    <definedName name="OSRRefP22_2x_0" localSheetId="62">'317'!$P$57</definedName>
    <definedName name="OSRRefP22_2x_0" localSheetId="65">'321'!$P$46</definedName>
    <definedName name="OSRRefP22_2x_0" localSheetId="66">'325'!$P$46</definedName>
    <definedName name="OSRRefP22_2x_0" localSheetId="58">'326'!$P$49</definedName>
    <definedName name="OSRRefP22_2x_0" localSheetId="56">'331'!$P$65</definedName>
    <definedName name="OSRRefP22_2x_0" localSheetId="59">'332'!$P$48</definedName>
    <definedName name="OSRRefP22_2x_0" localSheetId="54">'333'!$P$67</definedName>
    <definedName name="OSRRefP22_2x_0" localSheetId="71">'405'!$P$48</definedName>
    <definedName name="OSRRefP22_2x_0" localSheetId="73">'411'!$P$41</definedName>
    <definedName name="OSRRefP22_2x_0" localSheetId="74">'412'!$P$24</definedName>
    <definedName name="OSRRefP22_2x_0" localSheetId="75">'413'!$P$24</definedName>
    <definedName name="OSRRefP22_2x_0" localSheetId="76">'414'!$P$24</definedName>
    <definedName name="OSRRefP22_2x_0" localSheetId="77">'415'!$P$48</definedName>
    <definedName name="OSRRefP22_2x_0" localSheetId="78">'418'!$P$45</definedName>
    <definedName name="OSRRefP22_2x_0" localSheetId="79">'423'!$P$40</definedName>
    <definedName name="OSRRefP22_2x_0" localSheetId="80">'424'!$P$24</definedName>
    <definedName name="OSRRefP22_2x_0" localSheetId="81">'425'!$P$26</definedName>
    <definedName name="OSRRefP22_2x_0" localSheetId="83">'430'!$P$41</definedName>
    <definedName name="OSRRefP22_2x_0" localSheetId="84">'433'!$P$49</definedName>
    <definedName name="OSRRefP22_2x_0" localSheetId="86">'444'!$P$49</definedName>
    <definedName name="OSRRefP22_2x_0" localSheetId="87">'450'!$P$49</definedName>
    <definedName name="OSRRefP22_2x_0" localSheetId="70">'491'!$P$49</definedName>
    <definedName name="OSRRefP22_2x_0" localSheetId="82">'492'!$P$49</definedName>
    <definedName name="OSRRefP22_2x_0" localSheetId="89">'501'!$P$43</definedName>
    <definedName name="OSRRefP22_2x_0" localSheetId="39">'Div 2'!$P$43</definedName>
    <definedName name="OSRRefP22_2x_0" localSheetId="47">'Div 3'!$P$82</definedName>
    <definedName name="OSRRefP22_2x_0" localSheetId="68">'Div 4'!$P$51</definedName>
    <definedName name="OSRRefP22_2x_0" localSheetId="88">'Div 5'!$P$43</definedName>
    <definedName name="OSRRefP22_2x_0" localSheetId="61">'Div 6'!$P$57</definedName>
    <definedName name="OSRRefP22_2x_0" localSheetId="2">Summary!$P$88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5">'307'!$P$56</definedName>
    <definedName name="OSRRefP22_3x_0" localSheetId="51">'308'!$P$59</definedName>
    <definedName name="OSRRefP22_3x_0" localSheetId="64">'309'!$P$34</definedName>
    <definedName name="OSRRefP22_3x_0" localSheetId="63">'310'!$P$53</definedName>
    <definedName name="OSRRefP22_3x_0" localSheetId="69">'310 &amp; 491'!$P$53</definedName>
    <definedName name="OSRRefP22_3x_0" localSheetId="52">'311'!$P$59</definedName>
    <definedName name="OSRRefP22_3x_0" localSheetId="57">'315'!$P$67</definedName>
    <definedName name="OSRRefP22_3x_0" localSheetId="60">'316'!$P$50</definedName>
    <definedName name="OSRRefP22_3x_0" localSheetId="62">'317'!$P$59</definedName>
    <definedName name="OSRRefP22_3x_0" localSheetId="65">'321'!$P$48</definedName>
    <definedName name="OSRRefP22_3x_0" localSheetId="66">'325'!$P$48</definedName>
    <definedName name="OSRRefP22_3x_0" localSheetId="58">'326'!$P$51</definedName>
    <definedName name="OSRRefP22_3x_0" localSheetId="56">'331'!$P$67</definedName>
    <definedName name="OSRRefP22_3x_0" localSheetId="59">'332'!$P$50</definedName>
    <definedName name="OSRRefP22_3x_0" localSheetId="54">'333'!$P$69</definedName>
    <definedName name="OSRRefP22_3x_0" localSheetId="71">'405'!$P$50</definedName>
    <definedName name="OSRRefP22_3x_0" localSheetId="73">'411'!$P$43:$P$44</definedName>
    <definedName name="OSRRefP22_3x_0" localSheetId="74">'412'!$P$26</definedName>
    <definedName name="OSRRefP22_3x_0" localSheetId="77">'415'!$P$50</definedName>
    <definedName name="OSRRefP22_3x_0" localSheetId="78">'418'!$P$47</definedName>
    <definedName name="OSRRefP22_3x_0" localSheetId="79">'423'!$P$42</definedName>
    <definedName name="OSRRefP22_3x_0" localSheetId="81">'425'!$P$28</definedName>
    <definedName name="OSRRefP22_3x_0" localSheetId="83">'430'!$P$43</definedName>
    <definedName name="OSRRefP22_3x_0" localSheetId="84">'433'!$P$51</definedName>
    <definedName name="OSRRefP22_3x_0" localSheetId="86">'444'!$P$51</definedName>
    <definedName name="OSRRefP22_3x_0" localSheetId="87">'450'!$P$51</definedName>
    <definedName name="OSRRefP22_3x_0" localSheetId="70">'491'!$P$51</definedName>
    <definedName name="OSRRefP22_3x_0" localSheetId="82">'492'!$P$51</definedName>
    <definedName name="OSRRefP22_3x_0" localSheetId="89">'501'!$P$45</definedName>
    <definedName name="OSRRefP22_3x_0" localSheetId="39">'Div 2'!$P$45</definedName>
    <definedName name="OSRRefP22_3x_0" localSheetId="47">'Div 3'!$P$84</definedName>
    <definedName name="OSRRefP22_3x_0" localSheetId="68">'Div 4'!$P$53</definedName>
    <definedName name="OSRRefP22_3x_0" localSheetId="88">'Div 5'!$P$45</definedName>
    <definedName name="OSRRefP22_3x_0" localSheetId="61">'Div 6'!$P$59</definedName>
    <definedName name="OSRRefP22_3x_0" localSheetId="2">Summary!$P$90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5">'307'!$P$58</definedName>
    <definedName name="OSRRefP22_4x_0" localSheetId="51">'308'!$P$61</definedName>
    <definedName name="OSRRefP22_4x_0" localSheetId="64">'309'!$P$36</definedName>
    <definedName name="OSRRefP22_4x_0" localSheetId="63">'310'!$P$55</definedName>
    <definedName name="OSRRefP22_4x_0" localSheetId="69">'310 &amp; 491'!$P$55</definedName>
    <definedName name="OSRRefP22_4x_0" localSheetId="52">'311'!$P$61</definedName>
    <definedName name="OSRRefP22_4x_0" localSheetId="57">'315'!$P$69</definedName>
    <definedName name="OSRRefP22_4x_0" localSheetId="60">'316'!$P$52</definedName>
    <definedName name="OSRRefP22_4x_0" localSheetId="62">'317'!$P$61</definedName>
    <definedName name="OSRRefP22_4x_0" localSheetId="65">'321'!$P$50</definedName>
    <definedName name="OSRRefP22_4x_0" localSheetId="66">'325'!$P$50</definedName>
    <definedName name="OSRRefP22_4x_0" localSheetId="58">'326'!$P$53</definedName>
    <definedName name="OSRRefP22_4x_0" localSheetId="56">'331'!$P$69</definedName>
    <definedName name="OSRRefP22_4x_0" localSheetId="59">'332'!$P$52</definedName>
    <definedName name="OSRRefP22_4x_0" localSheetId="54">'333'!$P$71</definedName>
    <definedName name="OSRRefP22_4x_0" localSheetId="71">'405'!$P$52</definedName>
    <definedName name="OSRRefP22_4x_0" localSheetId="73">'411'!$P$46</definedName>
    <definedName name="OSRRefP22_4x_0" localSheetId="77">'415'!$P$52</definedName>
    <definedName name="OSRRefP22_4x_0" localSheetId="78">'418'!$P$49:$P$50</definedName>
    <definedName name="OSRRefP22_4x_0" localSheetId="79">'423'!$P$44</definedName>
    <definedName name="OSRRefP22_4x_0" localSheetId="81">'425'!$P$30</definedName>
    <definedName name="OSRRefP22_4x_0" localSheetId="83">'430'!$P$45</definedName>
    <definedName name="OSRRefP22_4x_0" localSheetId="84">'433'!$P$53</definedName>
    <definedName name="OSRRefP22_4x_0" localSheetId="86">'444'!$P$53</definedName>
    <definedName name="OSRRefP22_4x_0" localSheetId="87">'450'!$P$53</definedName>
    <definedName name="OSRRefP22_4x_0" localSheetId="70">'491'!$P$53</definedName>
    <definedName name="OSRRefP22_4x_0" localSheetId="82">'492'!$P$53</definedName>
    <definedName name="OSRRefP22_4x_0" localSheetId="89">'501'!$P$47</definedName>
    <definedName name="OSRRefP22_4x_0" localSheetId="39">'Div 2'!$P$47</definedName>
    <definedName name="OSRRefP22_4x_0" localSheetId="47">'Div 3'!$P$86</definedName>
    <definedName name="OSRRefP22_4x_0" localSheetId="68">'Div 4'!$P$55</definedName>
    <definedName name="OSRRefP22_4x_0" localSheetId="88">'Div 5'!$P$47</definedName>
    <definedName name="OSRRefP22_4x_0" localSheetId="61">'Div 6'!$P$61</definedName>
    <definedName name="OSRRefP22_4x_0" localSheetId="2">Summary!$P$92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5">'307'!$P$60:$P$61</definedName>
    <definedName name="OSRRefP22_5x_0" localSheetId="51">'308'!$P$63</definedName>
    <definedName name="OSRRefP22_5x_0" localSheetId="64">'309'!$P$38</definedName>
    <definedName name="OSRRefP22_5x_0" localSheetId="63">'310'!$P$57:$P$58</definedName>
    <definedName name="OSRRefP22_5x_0" localSheetId="69">'310 &amp; 491'!$P$57:$P$58</definedName>
    <definedName name="OSRRefP22_5x_0" localSheetId="52">'311'!$P$63</definedName>
    <definedName name="OSRRefP22_5x_0" localSheetId="57">'315'!$P$71</definedName>
    <definedName name="OSRRefP22_5x_0" localSheetId="60">'316'!$P$54:$P$55</definedName>
    <definedName name="OSRRefP22_5x_0" localSheetId="62">'317'!$P$63</definedName>
    <definedName name="OSRRefP22_5x_0" localSheetId="65">'321'!$P$52</definedName>
    <definedName name="OSRRefP22_5x_0" localSheetId="66">'325'!$P$52:$P$53</definedName>
    <definedName name="OSRRefP22_5x_0" localSheetId="58">'326'!$P$55</definedName>
    <definedName name="OSRRefP22_5x_0" localSheetId="56">'331'!$P$71</definedName>
    <definedName name="OSRRefP22_5x_0" localSheetId="59">'332'!$P$54:$P$55</definedName>
    <definedName name="OSRRefP22_5x_0" localSheetId="54">'333'!$P$73:$P$74</definedName>
    <definedName name="OSRRefP22_5x_0" localSheetId="71">'405'!$P$54:$P$55</definedName>
    <definedName name="OSRRefP22_5x_0" localSheetId="73">'411'!$P$48</definedName>
    <definedName name="OSRRefP22_5x_0" localSheetId="77">'415'!$P$54:$P$55</definedName>
    <definedName name="OSRRefP22_5x_0" localSheetId="78">'418'!$P$52</definedName>
    <definedName name="OSRRefP22_5x_0" localSheetId="79">'423'!$P$46</definedName>
    <definedName name="OSRRefP22_5x_0" localSheetId="81">'425'!$P$32</definedName>
    <definedName name="OSRRefP22_5x_0" localSheetId="83">'430'!$P$47:$P$48</definedName>
    <definedName name="OSRRefP22_5x_0" localSheetId="84">'433'!$P$55</definedName>
    <definedName name="OSRRefP22_5x_0" localSheetId="86">'444'!$P$55</definedName>
    <definedName name="OSRRefP22_5x_0" localSheetId="87">'450'!$P$55</definedName>
    <definedName name="OSRRefP22_5x_0" localSheetId="70">'491'!$P$55:$P$56</definedName>
    <definedName name="OSRRefP22_5x_0" localSheetId="82">'492'!$P$55</definedName>
    <definedName name="OSRRefP22_5x_0" localSheetId="89">'501'!$P$49:$P$50</definedName>
    <definedName name="OSRRefP22_5x_0" localSheetId="39">'Div 2'!$P$49:$P$50</definedName>
    <definedName name="OSRRefP22_5x_0" localSheetId="47">'Div 3'!$P$88:$P$89</definedName>
    <definedName name="OSRRefP22_5x_0" localSheetId="68">'Div 4'!$P$57:$P$58</definedName>
    <definedName name="OSRRefP22_5x_0" localSheetId="88">'Div 5'!$P$49:$P$50</definedName>
    <definedName name="OSRRefP22_5x_0" localSheetId="61">'Div 6'!$P$63</definedName>
    <definedName name="OSRRefP22_5x_0" localSheetId="2">Summary!$P$94:$P$95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'204'!$P$53:$P$54</definedName>
    <definedName name="OSRRefP22_6x_0" localSheetId="45">'205'!$P$50:$P$52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'301'!$P$52:$P$53</definedName>
    <definedName name="OSRRefP22_6x_0" localSheetId="55">'307'!$P$63</definedName>
    <definedName name="OSRRefP22_6x_0" localSheetId="51">'308'!$P$65:$P$66</definedName>
    <definedName name="OSRRefP22_6x_0" localSheetId="64">'309'!$P$40</definedName>
    <definedName name="OSRRefP22_6x_0" localSheetId="63">'310'!$P$60</definedName>
    <definedName name="OSRRefP22_6x_0" localSheetId="69">'310 &amp; 491'!$P$60</definedName>
    <definedName name="OSRRefP22_6x_0" localSheetId="52">'311'!$P$65:$P$66</definedName>
    <definedName name="OSRRefP22_6x_0" localSheetId="57">'315'!$P$73</definedName>
    <definedName name="OSRRefP22_6x_0" localSheetId="60">'316'!$P$57</definedName>
    <definedName name="OSRRefP22_6x_0" localSheetId="62">'317'!$P$65</definedName>
    <definedName name="OSRRefP22_6x_0" localSheetId="65">'321'!$P$54</definedName>
    <definedName name="OSRRefP22_6x_0" localSheetId="66">'325'!$P$55</definedName>
    <definedName name="OSRRefP22_6x_0" localSheetId="58">'326'!$P$57:$P$58</definedName>
    <definedName name="OSRRefP22_6x_0" localSheetId="56">'331'!$P$73</definedName>
    <definedName name="OSRRefP22_6x_0" localSheetId="59">'332'!$P$57</definedName>
    <definedName name="OSRRefP22_6x_0" localSheetId="54">'333'!$P$76</definedName>
    <definedName name="OSRRefP22_6x_0" localSheetId="71">'405'!$P$57</definedName>
    <definedName name="OSRRefP22_6x_0" localSheetId="73">'411'!$P$50</definedName>
    <definedName name="OSRRefP22_6x_0" localSheetId="77">'415'!$P$57</definedName>
    <definedName name="OSRRefP22_6x_0" localSheetId="78">'418'!$P$54</definedName>
    <definedName name="OSRRefP22_6x_0" localSheetId="83">'430'!$P$50:$P$51</definedName>
    <definedName name="OSRRefP22_6x_0" localSheetId="84">'433'!$P$57</definedName>
    <definedName name="OSRRefP22_6x_0" localSheetId="86">'444'!$P$57</definedName>
    <definedName name="OSRRefP22_6x_0" localSheetId="87">'450'!$P$57</definedName>
    <definedName name="OSRRefP22_6x_0" localSheetId="70">'491'!$P$58</definedName>
    <definedName name="OSRRefP22_6x_0" localSheetId="82">'492'!$P$57</definedName>
    <definedName name="OSRRefP22_6x_0" localSheetId="89">'501'!$P$52</definedName>
    <definedName name="OSRRefP22_6x_0" localSheetId="39">'Div 2'!$P$52</definedName>
    <definedName name="OSRRefP22_6x_0" localSheetId="47">'Div 3'!$P$91:$P$92</definedName>
    <definedName name="OSRRefP22_6x_0" localSheetId="68">'Div 4'!$P$60</definedName>
    <definedName name="OSRRefP22_6x_0" localSheetId="88">'Div 5'!$P$52</definedName>
    <definedName name="OSRRefP22_6x_0" localSheetId="61">'Div 6'!$P$65</definedName>
    <definedName name="OSRRefP22_6x_0" localSheetId="2">Summary!$P$97:$P$98</definedName>
    <definedName name="OSRRefP22_7x_0" localSheetId="41">'201'!$P$51</definedName>
    <definedName name="OSRRefP22_7x_0" localSheetId="42">'202'!$P$51:$P$53</definedName>
    <definedName name="OSRRefP22_7x_0" localSheetId="43">'203'!$P$52</definedName>
    <definedName name="OSRRefP22_7x_0" localSheetId="44">'204'!$P$56</definedName>
    <definedName name="OSRRefP22_7x_0" localSheetId="45">'205'!$P$54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'301'!$P$55</definedName>
    <definedName name="OSRRefP22_7x_0" localSheetId="55">'307'!$P$65</definedName>
    <definedName name="OSRRefP22_7x_0" localSheetId="51">'308'!$P$68</definedName>
    <definedName name="OSRRefP22_7x_0" localSheetId="64">'309'!$P$42</definedName>
    <definedName name="OSRRefP22_7x_0" localSheetId="63">'310'!$P$62</definedName>
    <definedName name="OSRRefP22_7x_0" localSheetId="69">'310 &amp; 491'!$P$62</definedName>
    <definedName name="OSRRefP22_7x_0" localSheetId="52">'311'!$P$68</definedName>
    <definedName name="OSRRefP22_7x_0" localSheetId="57">'315'!$P$75</definedName>
    <definedName name="OSRRefP22_7x_0" localSheetId="60">'316'!$P$59:$P$61</definedName>
    <definedName name="OSRRefP22_7x_0" localSheetId="62">'317'!$P$67</definedName>
    <definedName name="OSRRefP22_7x_0" localSheetId="65">'321'!$P$56:$P$57</definedName>
    <definedName name="OSRRefP22_7x_0" localSheetId="66">'325'!$P$57</definedName>
    <definedName name="OSRRefP22_7x_0" localSheetId="58">'326'!$P$60</definedName>
    <definedName name="OSRRefP22_7x_0" localSheetId="56">'331'!$P$75</definedName>
    <definedName name="OSRRefP22_7x_0" localSheetId="59">'332'!$P$59:$P$61</definedName>
    <definedName name="OSRRefP22_7x_0" localSheetId="54">'333'!$P$78</definedName>
    <definedName name="OSRRefP22_7x_0" localSheetId="71">'405'!$P$59</definedName>
    <definedName name="OSRRefP22_7x_0" localSheetId="73">'411'!$P$52</definedName>
    <definedName name="OSRRefP22_7x_0" localSheetId="77">'415'!$P$59</definedName>
    <definedName name="OSRRefP22_7x_0" localSheetId="78">'418'!$P$56:$P$57</definedName>
    <definedName name="OSRRefP22_7x_0" localSheetId="83">'430'!$P$53</definedName>
    <definedName name="OSRRefP22_7x_0" localSheetId="84">'433'!$P$59</definedName>
    <definedName name="OSRRefP22_7x_0" localSheetId="86">'444'!$P$59</definedName>
    <definedName name="OSRRefP22_7x_0" localSheetId="87">'450'!$P$59</definedName>
    <definedName name="OSRRefP22_7x_0" localSheetId="70">'491'!$P$60</definedName>
    <definedName name="OSRRefP22_7x_0" localSheetId="82">'492'!$P$59</definedName>
    <definedName name="OSRRefP22_7x_0" localSheetId="89">'501'!$P$54</definedName>
    <definedName name="OSRRefP22_7x_0" localSheetId="39">'Div 2'!$P$54</definedName>
    <definedName name="OSRRefP22_7x_0" localSheetId="47">'Div 3'!$P$94</definedName>
    <definedName name="OSRRefP22_7x_0" localSheetId="68">'Div 4'!$P$62</definedName>
    <definedName name="OSRRefP22_7x_0" localSheetId="88">'Div 5'!$P$54</definedName>
    <definedName name="OSRRefP22_7x_0" localSheetId="61">'Div 6'!$P$67</definedName>
    <definedName name="OSRRefP22_7x_0" localSheetId="2">Summary!$P$100</definedName>
    <definedName name="OSRRefP22_8x_0" localSheetId="41">'201'!$P$53</definedName>
    <definedName name="OSRRefP22_8x_0" localSheetId="42">'202'!$P$55</definedName>
    <definedName name="OSRRefP22_8x_0" localSheetId="43">'203'!$P$54:$P$56</definedName>
    <definedName name="OSRRefP22_8x_0" localSheetId="44">'204'!$P$58:$P$59</definedName>
    <definedName name="OSRRefP22_8x_0" localSheetId="48">'300'!$P$90</definedName>
    <definedName name="OSRRefP22_8x_0" localSheetId="49">'300 &amp; 317'!$P$96</definedName>
    <definedName name="OSRRefP22_8x_0" localSheetId="50">'301'!$P$57</definedName>
    <definedName name="OSRRefP22_8x_0" localSheetId="55">'307'!$P$67</definedName>
    <definedName name="OSRRefP22_8x_0" localSheetId="51">'308'!$P$70</definedName>
    <definedName name="OSRRefP22_8x_0" localSheetId="64">'309'!$P$44:$P$45</definedName>
    <definedName name="OSRRefP22_8x_0" localSheetId="63">'310'!$P$64</definedName>
    <definedName name="OSRRefP22_8x_0" localSheetId="69">'310 &amp; 491'!$P$64:$P$65</definedName>
    <definedName name="OSRRefP22_8x_0" localSheetId="52">'311'!$P$70</definedName>
    <definedName name="OSRRefP22_8x_0" localSheetId="57">'315'!$P$77:$P$78</definedName>
    <definedName name="OSRRefP22_8x_0" localSheetId="60">'316'!$P$63</definedName>
    <definedName name="OSRRefP22_8x_0" localSheetId="62">'317'!$P$69:$P$70</definedName>
    <definedName name="OSRRefP22_8x_0" localSheetId="65">'321'!$P$59</definedName>
    <definedName name="OSRRefP22_8x_0" localSheetId="66">'325'!$P$59</definedName>
    <definedName name="OSRRefP22_8x_0" localSheetId="58">'326'!$P$62</definedName>
    <definedName name="OSRRefP22_8x_0" localSheetId="56">'331'!$P$77:$P$78</definedName>
    <definedName name="OSRRefP22_8x_0" localSheetId="59">'332'!$P$63</definedName>
    <definedName name="OSRRefP22_8x_0" localSheetId="54">'333'!$P$80:$P$81</definedName>
    <definedName name="OSRRefP22_8x_0" localSheetId="71">'405'!$P$61</definedName>
    <definedName name="OSRRefP22_8x_0" localSheetId="73">'411'!$P$54:$P$57</definedName>
    <definedName name="OSRRefP22_8x_0" localSheetId="77">'415'!$P$61</definedName>
    <definedName name="OSRRefP22_8x_0" localSheetId="78">'418'!$P$59:$P$60</definedName>
    <definedName name="OSRRefP22_8x_0" localSheetId="83">'430'!$P$55</definedName>
    <definedName name="OSRRefP22_8x_0" localSheetId="84">'433'!$P$61</definedName>
    <definedName name="OSRRefP22_8x_0" localSheetId="86">'444'!$P$61</definedName>
    <definedName name="OSRRefP22_8x_0" localSheetId="87">'450'!$P$61</definedName>
    <definedName name="OSRRefP22_8x_0" localSheetId="70">'491'!$P$62:$P$63</definedName>
    <definedName name="OSRRefP22_8x_0" localSheetId="82">'492'!$P$61</definedName>
    <definedName name="OSRRefP22_8x_0" localSheetId="89">'501'!$P$56</definedName>
    <definedName name="OSRRefP22_8x_0" localSheetId="39">'Div 2'!$P$56</definedName>
    <definedName name="OSRRefP22_8x_0" localSheetId="47">'Div 3'!$P$96</definedName>
    <definedName name="OSRRefP22_8x_0" localSheetId="68">'Div 4'!$P$64</definedName>
    <definedName name="OSRRefP22_8x_0" localSheetId="88">'Div 5'!$P$56</definedName>
    <definedName name="OSRRefP22_8x_0" localSheetId="61">'Div 6'!$P$69:$P$70</definedName>
    <definedName name="OSRRefP22_8x_0" localSheetId="2">Summary!$P$102</definedName>
    <definedName name="OSRRefP22_9x_0" localSheetId="41">'201'!$P$55:$P$57</definedName>
    <definedName name="OSRRefP22_9x_0" localSheetId="42">'202'!$P$57</definedName>
    <definedName name="OSRRefP22_9x_0" localSheetId="43">'203'!$P$58:$P$59</definedName>
    <definedName name="OSRRefP22_9x_0" localSheetId="44">'204'!$P$61</definedName>
    <definedName name="OSRRefP22_9x_0" localSheetId="48">'300'!$P$92</definedName>
    <definedName name="OSRRefP22_9x_0" localSheetId="49">'300 &amp; 317'!$P$98</definedName>
    <definedName name="OSRRefP22_9x_0" localSheetId="50">'301'!$P$59</definedName>
    <definedName name="OSRRefP22_9x_0" localSheetId="55">'307'!$P$69:$P$70</definedName>
    <definedName name="OSRRefP22_9x_0" localSheetId="51">'308'!$P$72:$P$74</definedName>
    <definedName name="OSRRefP22_9x_0" localSheetId="64">'309'!$P$47:$P$48</definedName>
    <definedName name="OSRRefP22_9x_0" localSheetId="63">'310'!$P$66</definedName>
    <definedName name="OSRRefP22_9x_0" localSheetId="69">'310 &amp; 491'!$P$67</definedName>
    <definedName name="OSRRefP22_9x_0" localSheetId="52">'311'!$P$72:$P$74</definedName>
    <definedName name="OSRRefP22_9x_0" localSheetId="57">'315'!$P$80</definedName>
    <definedName name="OSRRefP22_9x_0" localSheetId="60">'316'!$P$65:$P$68</definedName>
    <definedName name="OSRRefP22_9x_0" localSheetId="62">'317'!$P$72</definedName>
    <definedName name="OSRRefP22_9x_0" localSheetId="65">'321'!$P$61:$P$62</definedName>
    <definedName name="OSRRefP22_9x_0" localSheetId="66">'325'!$P$61</definedName>
    <definedName name="OSRRefP22_9x_0" localSheetId="58">'326'!$P$64</definedName>
    <definedName name="OSRRefP22_9x_0" localSheetId="56">'331'!$P$80:$P$81</definedName>
    <definedName name="OSRRefP22_9x_0" localSheetId="59">'332'!$P$65:$P$68</definedName>
    <definedName name="OSRRefP22_9x_0" localSheetId="54">'333'!$P$83:$P$84</definedName>
    <definedName name="OSRRefP22_9x_0" localSheetId="71">'405'!$P$63:$P$64</definedName>
    <definedName name="OSRRefP22_9x_0" localSheetId="73">'411'!$P$59:$P$61</definedName>
    <definedName name="OSRRefP22_9x_0" localSheetId="77">'415'!$P$63</definedName>
    <definedName name="OSRRefP22_9x_0" localSheetId="78">'418'!$P$62:$P$65</definedName>
    <definedName name="OSRRefP22_9x_0" localSheetId="84">'433'!$P$63</definedName>
    <definedName name="OSRRefP22_9x_0" localSheetId="86">'444'!$P$63</definedName>
    <definedName name="OSRRefP22_9x_0" localSheetId="87">'450'!$P$63</definedName>
    <definedName name="OSRRefP22_9x_0" localSheetId="70">'491'!$P$65</definedName>
    <definedName name="OSRRefP22_9x_0" localSheetId="82">'492'!$P$63</definedName>
    <definedName name="OSRRefP22_9x_0" localSheetId="89">'501'!$P$58:$P$60</definedName>
    <definedName name="OSRRefP22_9x_0" localSheetId="39">'Div 2'!$P$58</definedName>
    <definedName name="OSRRefP22_9x_0" localSheetId="47">'Div 3'!$P$98</definedName>
    <definedName name="OSRRefP22_9x_0" localSheetId="68">'Div 4'!$P$66:$P$67</definedName>
    <definedName name="OSRRefP22_9x_0" localSheetId="88">'Div 5'!$P$58:$P$60</definedName>
    <definedName name="OSRRefP22_9x_0" localSheetId="61">'Div 6'!$P$72</definedName>
    <definedName name="OSRRefP22_9x_0" localSheetId="2">Summary!$P$104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'201'!$P$20:$P$28,'201'!$P$30:$P$39,'201'!$P$41,'201'!$P$43,'201'!$P$45,'201'!$P$47,'201'!$P$49,'201'!$P$51,'201'!$P$53,'201'!$P$55:$P$57,'201'!$P$59:$P$60,'201'!$P$62,'201'!$P$64:$P$65,'201'!$P$67,'201'!$P$69,'201'!$P$71</definedName>
    <definedName name="OSRRefP22x_0" localSheetId="42">'202'!$P$20:$P$28,'202'!$P$30:$P$39,'202'!$P$41,'202'!$P$43,'202'!$P$45,'202'!$P$47,'202'!$P$49,'202'!$P$51:$P$53,'202'!$P$55,'202'!$P$57,'202'!$P$59,'202'!$P$61,'202'!$P$63</definedName>
    <definedName name="OSRRefP22x_0" localSheetId="43">'203'!$P$20:$P$29,'203'!$P$31:$P$40,'203'!$P$42,'203'!$P$44,'203'!$P$46,'203'!$P$48,'203'!$P$50,'203'!$P$52,'203'!$P$54:$P$56,'203'!$P$58:$P$59,'203'!$P$61:$P$62,'203'!$P$64:$P$67,'203'!$P$69,'203'!$P$71,'203'!$P$73</definedName>
    <definedName name="OSRRefP22x_0" localSheetId="44">'204'!$P$20:$P$28,'204'!$P$30:$P$39,'204'!$P$41,'204'!$P$43:$P$44,'204'!$P$46,'204'!$P$48:$P$51,'204'!$P$53:$P$54,'204'!$P$56,'204'!$P$58:$P$59,'204'!$P$61,'204'!$P$63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$93,'301'!$P$95</definedName>
    <definedName name="OSRRefP22x_0" localSheetId="55">'307'!$P$34:$P$41,'307'!$P$43:$P$52,'307'!$P$54,'307'!$P$56,'307'!$P$58,'307'!$P$60:$P$61,'307'!$P$63,'307'!$P$65,'307'!$P$67,'307'!$P$69:$P$70,'307'!$P$72:$P$73,'307'!$P$75,'307'!$P$77:$P$80,'307'!$P$82</definedName>
    <definedName name="OSRRefP22x_0" localSheetId="51">'308'!$P$35:$P$44,'308'!$P$46:$P$55,'308'!$P$57,'308'!$P$59,'308'!$P$61,'308'!$P$63,'308'!$P$65:$P$66,'308'!$P$68,'308'!$P$70,'308'!$P$72:$P$74,'308'!$P$76:$P$77,'308'!$P$79:$P$80,'308'!$P$82:$P$83,'308'!$P$85</definedName>
    <definedName name="OSRRefP22x_0" localSheetId="64">'309'!$P$26:$P$27,'309'!$P$29:$P$30,'309'!$P$32,'309'!$P$34,'309'!$P$36,'309'!$P$38,'309'!$P$40,'309'!$P$42,'309'!$P$44:$P$45,'309'!$P$47:$P$48,'309'!$P$50:$P$51,'309'!$P$53,'309'!$P$55</definedName>
    <definedName name="OSRRefP22x_0" localSheetId="63">'310'!$P$29:$P$38,'310'!$P$40:$P$49,'310'!$P$51,'310'!$P$53,'310'!$P$55,'310'!$P$57:$P$58,'310'!$P$60,'310'!$P$62,'310'!$P$64,'310'!$P$66,'310'!$P$68,'310'!$P$70:$P$72,'310'!$P$74,'310'!$P$76:$P$78,'310'!$P$80:$P$84,'310'!$P$86:$P$87,'310'!$P$89,'310'!$P$91</definedName>
    <definedName name="OSRRefP22x_0" localSheetId="69">'310 &amp; 491'!$P$29:$P$38,'310 &amp; 491'!$P$40:$P$49,'310 &amp; 491'!$P$51,'310 &amp; 491'!$P$53,'310 &amp; 491'!$P$55,'310 &amp; 491'!$P$57:$P$58,'310 &amp; 491'!$P$60,'310 &amp; 491'!$P$62,'310 &amp; 491'!$P$64:$P$65,'310 &amp; 491'!$P$67,'310 &amp; 491'!$P$69,'310 &amp; 491'!$P$71,'310 &amp; 491'!$P$73:$P$76,'310 &amp; 491'!$P$78:$P$79,'310 &amp; 491'!$P$81:$P$85,'310 &amp; 491'!$P$87,'310 &amp; 491'!$P$89:$P$98,'310 &amp; 491'!$P$100:$P$101,'310 &amp; 491'!$P$103,'310 &amp; 491'!$P$105:$P$106,'310 &amp; 491'!$P$108</definedName>
    <definedName name="OSRRefP22x_0" localSheetId="52">'311'!$P$35:$P$44,'311'!$P$46:$P$55,'311'!$P$57,'311'!$P$59,'311'!$P$61,'311'!$P$63,'311'!$P$65:$P$66,'311'!$P$68,'311'!$P$70,'311'!$P$72:$P$74,'311'!$P$76:$P$77,'311'!$P$79:$P$80,'311'!$P$82:$P$83,'311'!$P$85</definedName>
    <definedName name="OSRRefP22x_0" localSheetId="57">'315'!$P$44:$P$52,'315'!$P$54:$P$63,'315'!$P$65,'315'!$P$67,'315'!$P$69,'315'!$P$71,'315'!$P$73,'315'!$P$75,'315'!$P$77:$P$78,'315'!$P$80,'315'!$P$82,'315'!$P$84,'315'!$P$86:$P$87,'315'!$P$89:$P$91,'315'!$P$93:$P$94,'315'!$P$96:$P$99,'315'!$P$101,'315'!$P$103,'315'!$P$105</definedName>
    <definedName name="OSRRefP22x_0" localSheetId="60">'316'!$P$27:$P$35,'316'!$P$37:$P$46,'316'!$P$48,'316'!$P$50,'316'!$P$52,'316'!$P$54:$P$55,'316'!$P$57,'316'!$P$59:$P$61,'316'!$P$63,'316'!$P$65:$P$68,'316'!$P$70</definedName>
    <definedName name="OSRRefP22x_0" localSheetId="62">'317'!$P$35:$P$44,'317'!$P$46:$P$55,'317'!$P$57,'317'!$P$59,'317'!$P$61,'317'!$P$63,'317'!$P$65,'317'!$P$67,'317'!$P$69:$P$70,'317'!$P$72</definedName>
    <definedName name="OSRRefP22x_0" localSheetId="65">'321'!$P$24:$P$33,'321'!$P$35:$P$44,'321'!$P$46,'321'!$P$48,'321'!$P$50,'321'!$P$52,'321'!$P$54,'321'!$P$56:$P$57,'321'!$P$59,'321'!$P$61:$P$62,'321'!$P$64:$P$67,'321'!$P$69,'321'!$P$71</definedName>
    <definedName name="OSRRefP22x_0" localSheetId="66">'325'!$P$25:$P$33,'325'!$P$35:$P$44,'325'!$P$46,'325'!$P$48,'325'!$P$50,'325'!$P$52:$P$53,'325'!$P$55,'325'!$P$57,'325'!$P$59,'325'!$P$61,'325'!$P$63,'325'!$P$65:$P$67,'325'!$P$69:$P$71,'325'!$P$73:$P$77,'325'!$P$79:$P$80,'325'!$P$82,'325'!$P$84</definedName>
    <definedName name="OSRRefP22x_0" localSheetId="58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67">'327'!$P$26,'327'!$P$28</definedName>
    <definedName name="OSRRefP22x_0" localSheetId="56">'331'!$P$44:$P$52,'331'!$P$54:$P$63,'331'!$P$65,'331'!$P$67,'331'!$P$69,'331'!$P$71,'331'!$P$73,'331'!$P$75,'331'!$P$77:$P$78,'331'!$P$80:$P$81,'331'!$P$83,'331'!$P$85,'331'!$P$87,'331'!$P$89,'331'!$P$91:$P$92,'331'!$P$94:$P$96,'331'!$P$98:$P$99,'331'!$P$101:$P$102,'331'!$P$104:$P$108,'331'!$P$110,'331'!$P$112,'331'!$P$114:$P$115,'331'!$P$117</definedName>
    <definedName name="OSRRefP22x_0" localSheetId="59">'332'!$P$27:$P$35,'332'!$P$37:$P$46,'332'!$P$48,'332'!$P$50,'332'!$P$52,'332'!$P$54:$P$55,'332'!$P$57,'332'!$P$59:$P$61,'332'!$P$63,'332'!$P$65:$P$68,'332'!$P$70</definedName>
    <definedName name="OSRRefP22x_0" localSheetId="54">'333'!$P$46:$P$54,'333'!$P$56:$P$65,'333'!$P$67,'333'!$P$69,'333'!$P$71,'333'!$P$73:$P$74,'333'!$P$76,'333'!$P$78,'333'!$P$80:$P$81,'333'!$P$83:$P$84,'333'!$P$86,'333'!$P$88,'333'!$P$90,'333'!$P$92,'333'!$P$94:$P$95,'333'!$P$97:$P$99,'333'!$P$101:$P$103,'333'!$P$105:$P$106,'333'!$P$108:$P$113,'333'!$P$115,'333'!$P$117,'333'!$P$119:$P$120,'333'!$P$122</definedName>
    <definedName name="OSRRefP22x_0" localSheetId="71">'405'!$P$27:$P$35,'405'!$P$37:$P$46,'405'!$P$48,'405'!$P$50,'405'!$P$52,'405'!$P$54:$P$55,'405'!$P$57,'405'!$P$59,'405'!$P$61,'405'!$P$63:$P$64,'405'!$P$66:$P$69,'405'!$P$71,'405'!$P$73:$P$80,'405'!$P$82,'405'!$P$84,'405'!$P$86,'405'!$P$88</definedName>
    <definedName name="OSRRefP22x_0" localSheetId="72">'406'!$P$20,'406'!$P$22</definedName>
    <definedName name="OSRRefP22x_0" localSheetId="73">'411'!$P$20:$P$28,'411'!$P$30:$P$39,'411'!$P$41,'411'!$P$43:$P$44,'411'!$P$46,'411'!$P$48,'411'!$P$50,'411'!$P$52,'411'!$P$54:$P$57,'411'!$P$59:$P$61,'411'!$P$63:$P$64,'411'!$P$66,'411'!$P$68,'411'!$P$70:$P$71,'411'!$P$73</definedName>
    <definedName name="OSRRefP22x_0" localSheetId="74">'412'!$P$20,'412'!$P$22,'412'!$P$24,'412'!$P$26</definedName>
    <definedName name="OSRRefP22x_0" localSheetId="75">'413'!$P$20,'413'!$P$22,'413'!$P$24</definedName>
    <definedName name="OSRRefP22x_0" localSheetId="76">'414'!$P$20,'414'!$P$22,'414'!$P$24</definedName>
    <definedName name="OSRRefP22x_0" localSheetId="77">'415'!$P$27:$P$35,'415'!$P$37:$P$46,'415'!$P$48,'415'!$P$50,'415'!$P$52,'415'!$P$54:$P$55,'415'!$P$57,'415'!$P$59,'415'!$P$61,'415'!$P$63,'415'!$P$65,'415'!$P$67:$P$68,'415'!$P$70:$P$73,'415'!$P$75,'415'!$P$77:$P$83,'415'!$P$85:$P$86,'415'!$P$88,'415'!$P$90</definedName>
    <definedName name="OSRRefP22x_0" localSheetId="78">'418'!$P$24:$P$32,'418'!$P$34:$P$43,'418'!$P$45,'418'!$P$47,'418'!$P$49:$P$50,'418'!$P$52,'418'!$P$54,'418'!$P$56:$P$57,'418'!$P$59:$P$60,'418'!$P$62:$P$65,'418'!$P$67,'418'!$P$69:$P$76,'418'!$P$78:$P$79,'418'!$P$81,'418'!$P$83</definedName>
    <definedName name="OSRRefP22x_0" localSheetId="79">'423'!$P$20:$P$27,'423'!$P$29:$P$38,'423'!$P$40,'423'!$P$42,'423'!$P$44,'423'!$P$46</definedName>
    <definedName name="OSRRefP22x_0" localSheetId="80">'424'!$P$20,'424'!$P$22,'424'!$P$24</definedName>
    <definedName name="OSRRefP22x_0" localSheetId="81">'425'!$P$22,'425'!$P$24,'425'!$P$26,'425'!$P$28,'425'!$P$30,'425'!$P$32</definedName>
    <definedName name="OSRRefP22x_0" localSheetId="83">'430'!$P$20:$P$28,'430'!$P$30:$P$39,'430'!$P$41,'430'!$P$43,'430'!$P$45,'430'!$P$47:$P$48,'430'!$P$50:$P$51,'430'!$P$53,'430'!$P$55</definedName>
    <definedName name="OSRRefP22x_0" localSheetId="84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85">'435'!$P$20</definedName>
    <definedName name="OSRRefP22x_0" localSheetId="86">'444'!$P$27:$P$36,'444'!$P$38:$P$47,'444'!$P$49,'444'!$P$51,'444'!$P$53,'444'!$P$55,'444'!$P$57,'444'!$P$59,'444'!$P$61,'444'!$P$63,'444'!$P$65,'444'!$P$67:$P$68,'444'!$P$70:$P$73,'444'!$P$75,'444'!$P$77:$P$85,'444'!$P$87,'444'!$P$89</definedName>
    <definedName name="OSRRefP22x_0" localSheetId="87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0">'491'!$P$28:$P$36,'491'!$P$38:$P$47,'491'!$P$49,'491'!$P$51,'491'!$P$53,'491'!$P$55:$P$56,'491'!$P$58,'491'!$P$60,'491'!$P$62:$P$63,'491'!$P$65,'491'!$P$67,'491'!$P$69,'491'!$P$71:$P$74,'491'!$P$76,'491'!$P$78:$P$82,'491'!$P$84,'491'!$P$86:$P$95,'491'!$P$97:$P$98,'491'!$P$100,'491'!$P$102:$P$103,'491'!$P$105</definedName>
    <definedName name="OSRRefP22x_0" localSheetId="82">'492'!$P$27:$P$36,'492'!$P$38:$P$47,'492'!$P$49,'492'!$P$51,'492'!$P$53,'492'!$P$55,'492'!$P$57,'492'!$P$59,'492'!$P$61,'492'!$P$63,'492'!$P$65,'492'!$P$67,'492'!$P$69:$P$71,'492'!$P$73:$P$76,'492'!$P$78,'492'!$P$80:$P$88,'492'!$P$90:$P$91,'492'!$P$93,'492'!$P$95:$P$96</definedName>
    <definedName name="OSRRefP22x_0" localSheetId="89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2'!$P$77:$P$78,'Div 2'!$P$80:$P$85,'Div 2'!$P$87:$P$88,'Div 2'!$P$90,'Div 2'!$P$92:$P$93</definedName>
    <definedName name="OSRRefP22x_0" localSheetId="47">'Div 3'!$P$60:$P$69,'Div 3'!$P$71:$P$80,'Div 3'!$P$82,'Div 3'!$P$84,'Div 3'!$P$86,'Div 3'!$P$88:$P$89,'Div 3'!$P$91:$P$92,'Div 3'!$P$94,'Div 3'!$P$96,'Div 3'!$P$98,'Div 3'!$P$100:$P$101,'Div 3'!$P$103:$P$104,'Div 3'!$P$106,'Div 3'!$P$108,'Div 3'!$P$110,'Div 3'!$P$112,'Div 3'!$P$114,'Div 3'!$P$116:$P$119,'Div 3'!$P$121:$P$124,'Div 3'!$P$126:$P$129,'Div 3'!$P$131:$P$132,'Div 3'!$P$134:$P$140,'Div 3'!$P$142:$P$143,'Div 3'!$P$145,'Div 3'!$P$147:$P$149,'Div 3'!$P$151</definedName>
    <definedName name="OSRRefP22x_0" localSheetId="68">'Div 4'!$P$29:$P$38,'Div 4'!$P$40:$P$49,'Div 4'!$P$51,'Div 4'!$P$53,'Div 4'!$P$55,'Div 4'!$P$57:$P$58,'Div 4'!$P$60,'Div 4'!$P$62,'Div 4'!$P$64,'Div 4'!$P$66:$P$67,'Div 4'!$P$69,'Div 4'!$P$71,'Div 4'!$P$73,'Div 4'!$P$75,'Div 4'!$P$77:$P$80,'Div 4'!$P$82,'Div 4'!$P$84:$P$88,'Div 4'!$P$90:$P$91,'Div 4'!$P$93:$P$102,'Div 4'!$P$104:$P$105,'Div 4'!$P$107,'Div 4'!$P$109:$P$110,'Div 4'!$P$112</definedName>
    <definedName name="OSRRefP22x_0" localSheetId="88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1">'Div 6'!$P$35:$P$44,'Div 6'!$P$46:$P$55,'Div 6'!$P$57,'Div 6'!$P$59,'Div 6'!$P$61,'Div 6'!$P$63,'Div 6'!$P$65,'Div 6'!$P$67,'Div 6'!$P$69:$P$70,'Div 6'!$P$72</definedName>
    <definedName name="OSRRefP22x_0" localSheetId="2">Summary!$P$66:$P$75,Summary!$P$77:$P$86,Summary!$P$88,Summary!$P$90,Summary!$P$92,Summary!$P$94:$P$95,Summary!$P$97:$P$98,Summary!$P$100,Summary!$P$102,Summary!$P$104,Summary!$P$106:$P$107,Summary!$P$109:$P$111,Summary!$P$113,Summary!$P$115,Summary!$P$117,Summary!$P$119,Summary!$P$121,Summary!$P$123,Summary!$P$125:$P$128,Summary!$P$130:$P$133,Summary!$P$135:$P$139,Summary!$P$141:$P$142,Summary!$P$144:$P$153,Summary!$P$155:$P$156,Summary!$P$158,Summary!$P$160:$P$162,Summary!$P$164</definedName>
    <definedName name="OSRRefP25x_0" localSheetId="48">'300'!$P$145:$P$149</definedName>
    <definedName name="OSRRefP25x_0" localSheetId="49">'300 &amp; 317'!$P$151:$P$157</definedName>
    <definedName name="OSRRefP25x_0" localSheetId="50">'301'!$P$98:$P$99</definedName>
    <definedName name="OSRRefP25x_0" localSheetId="51">'308'!$P$88:$P$91</definedName>
    <definedName name="OSRRefP25x_0" localSheetId="69">'310 &amp; 491'!$P$111:$P$114</definedName>
    <definedName name="OSRRefP25x_0" localSheetId="52">'311'!$P$88:$P$91</definedName>
    <definedName name="OSRRefP25x_0" localSheetId="57">'315'!$P$108:$P$110</definedName>
    <definedName name="OSRRefP25x_0" localSheetId="60">'316'!$P$73</definedName>
    <definedName name="OSRRefP25x_0" localSheetId="62">'317'!$P$75:$P$77</definedName>
    <definedName name="OSRRefP25x_0" localSheetId="56">'331'!$P$120:$P$122</definedName>
    <definedName name="OSRRefP25x_0" localSheetId="59">'332'!$P$73</definedName>
    <definedName name="OSRRefP25x_0" localSheetId="54">'333'!$P$125:$P$127</definedName>
    <definedName name="OSRRefP25x_0" localSheetId="71">'405'!$P$91</definedName>
    <definedName name="OSRRefP25x_0" localSheetId="73">'411'!$P$76</definedName>
    <definedName name="OSRRefP25x_0" localSheetId="77">'415'!$P$93</definedName>
    <definedName name="OSRRefP25x_0" localSheetId="78">'418'!$P$86</definedName>
    <definedName name="OSRRefP25x_0" localSheetId="79">'423'!$P$49:$P$51</definedName>
    <definedName name="OSRRefP25x_0" localSheetId="70">'491'!$P$108:$P$111</definedName>
    <definedName name="OSRRefP25x_0" localSheetId="89">'501'!$P$73</definedName>
    <definedName name="OSRRefP25x_0" localSheetId="47">'Div 3'!$P$154:$P$158</definedName>
    <definedName name="OSRRefP25x_0" localSheetId="68">'Div 4'!$P$115:$P$118</definedName>
    <definedName name="OSRRefP25x_0" localSheetId="88">'Div 5'!$P$73</definedName>
    <definedName name="OSRRefP25x_0" localSheetId="61">'Div 6'!$P$75:$P$77</definedName>
    <definedName name="OSRRefP25x_0" localSheetId="2">Summary!$P$167:$P$174</definedName>
    <definedName name="OSRRefT13x_0" localSheetId="48">'300'!$T$13:$T$19</definedName>
    <definedName name="OSRRefT13x_0" localSheetId="49">'300 &amp; 317'!$T$13:$T$19</definedName>
    <definedName name="OSRRefT13x_0" localSheetId="55">'307'!$T$13:$T$16</definedName>
    <definedName name="OSRRefT13x_0" localSheetId="51">'308'!$T$13:$T$17</definedName>
    <definedName name="OSRRefT13x_0" localSheetId="64">'309'!$T$13:$T$16</definedName>
    <definedName name="OSRRefT13x_0" localSheetId="63">'310'!$T$13:$T$18</definedName>
    <definedName name="OSRRefT13x_0" localSheetId="69">'310 &amp; 491'!$T$13:$T$18</definedName>
    <definedName name="OSRRefT13x_0" localSheetId="52">'311'!$T$13:$T$17</definedName>
    <definedName name="OSRRefT13x_0" localSheetId="57">'315'!$T$13:$T$17</definedName>
    <definedName name="OSRRefT13x_0" localSheetId="60">'316'!$T$13:$T$17</definedName>
    <definedName name="OSRRefT13x_0" localSheetId="62">'317'!$T$13:$T$17</definedName>
    <definedName name="OSRRefT13x_0" localSheetId="65">'321'!$T$13:$T$14</definedName>
    <definedName name="OSRRefT13x_0" localSheetId="53">'324'!$T$13:$T$14</definedName>
    <definedName name="OSRRefT13x_0" localSheetId="66">'325'!$T$13:$T$14</definedName>
    <definedName name="OSRRefT13x_0" localSheetId="58">'326'!$T$13:$T$16</definedName>
    <definedName name="OSRRefT13x_0" localSheetId="67">'327'!$T$13:$T$15</definedName>
    <definedName name="OSRRefT13x_0" localSheetId="56">'331'!$T$13:$T$17</definedName>
    <definedName name="OSRRefT13x_0" localSheetId="59">'332'!$T$13:$T$17</definedName>
    <definedName name="OSRRefT13x_0" localSheetId="54">'333'!$T$13:$T$17</definedName>
    <definedName name="OSRRefT13x_0" localSheetId="71">'405'!$T$13:$T$16</definedName>
    <definedName name="OSRRefT13x_0" localSheetId="77">'415'!$T$13:$T$16</definedName>
    <definedName name="OSRRefT13x_0" localSheetId="78">'418'!$T$13:$T$14</definedName>
    <definedName name="OSRRefT13x_0" localSheetId="81">'425'!$T$13</definedName>
    <definedName name="OSRRefT13x_0" localSheetId="84">'433'!$T$13:$T$16</definedName>
    <definedName name="OSRRefT13x_0" localSheetId="86">'444'!$T$13:$T$16</definedName>
    <definedName name="OSRRefT13x_0" localSheetId="87">'450'!$T$13:$T$16</definedName>
    <definedName name="OSRRefT13x_0" localSheetId="70">'491'!$T$13:$T$17</definedName>
    <definedName name="OSRRefT13x_0" localSheetId="82">'492'!$T$13:$T$16</definedName>
    <definedName name="OSRRefT13x_0" localSheetId="89">'501'!$T$13</definedName>
    <definedName name="OSRRefT13x_0" localSheetId="47">'Div 3'!$T$13:$T$23</definedName>
    <definedName name="OSRRefT13x_0" localSheetId="68">'Div 4'!$T$13:$T$18</definedName>
    <definedName name="OSRRefT13x_0" localSheetId="88">'Div 5'!$T$13</definedName>
    <definedName name="OSRRefT13x_0" localSheetId="61">'Div 6'!$T$13:$T$17</definedName>
    <definedName name="OSRRefT13x_0" localSheetId="2">Summary!$T$13:$T$23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5">'307'!$T$19:$T$28</definedName>
    <definedName name="OSRRefT16x_0" localSheetId="51">'308'!$T$20:$T$29</definedName>
    <definedName name="OSRRefT16x_0" localSheetId="64">'309'!$T$19:$T$20</definedName>
    <definedName name="OSRRefT16x_0" localSheetId="63">'310'!$T$21:$T$23</definedName>
    <definedName name="OSRRefT16x_0" localSheetId="69">'310 &amp; 491'!$T$21:$T$23</definedName>
    <definedName name="OSRRefT16x_0" localSheetId="52">'311'!$T$20:$T$29</definedName>
    <definedName name="OSRRefT16x_0" localSheetId="57">'315'!$T$20:$T$38</definedName>
    <definedName name="OSRRefT16x_0" localSheetId="60">'316'!$T$20:$T$21</definedName>
    <definedName name="OSRRefT16x_0" localSheetId="62">'317'!$T$20:$T$29</definedName>
    <definedName name="OSRRefT16x_0" localSheetId="65">'321'!$T$17:$T$18</definedName>
    <definedName name="OSRRefT16x_0" localSheetId="53">'324'!$T$17</definedName>
    <definedName name="OSRRefT16x_0" localSheetId="66">'325'!$T$17:$T$19</definedName>
    <definedName name="OSRRefT16x_0" localSheetId="58">'326'!$T$19:$T$22</definedName>
    <definedName name="OSRRefT16x_0" localSheetId="67">'327'!$T$18:$T$20</definedName>
    <definedName name="OSRRefT16x_0" localSheetId="56">'331'!$T$20:$T$38</definedName>
    <definedName name="OSRRefT16x_0" localSheetId="59">'332'!$T$20:$T$21</definedName>
    <definedName name="OSRRefT16x_0" localSheetId="54">'333'!$T$20:$T$40</definedName>
    <definedName name="OSRRefT16x_0" localSheetId="71">'405'!$T$19:$T$21</definedName>
    <definedName name="OSRRefT16x_0" localSheetId="77">'415'!$T$19:$T$21</definedName>
    <definedName name="OSRRefT16x_0" localSheetId="78">'418'!$T$17:$T$18</definedName>
    <definedName name="OSRRefT16x_0" localSheetId="81">'425'!$T$16</definedName>
    <definedName name="OSRRefT16x_0" localSheetId="84">'433'!$T$19:$T$21</definedName>
    <definedName name="OSRRefT16x_0" localSheetId="86">'444'!$T$19:$T$21</definedName>
    <definedName name="OSRRefT16x_0" localSheetId="87">'450'!$T$19:$T$21</definedName>
    <definedName name="OSRRefT16x_0" localSheetId="70">'491'!$T$20:$T$22</definedName>
    <definedName name="OSRRefT16x_0" localSheetId="82">'492'!$T$19:$T$21</definedName>
    <definedName name="OSRRefT16x_0" localSheetId="47">'Div 3'!$T$26:$T$54</definedName>
    <definedName name="OSRRefT16x_0" localSheetId="68">'Div 4'!$T$21:$T$23</definedName>
    <definedName name="OSRRefT16x_0" localSheetId="61">'Div 6'!$T$20:$T$29</definedName>
    <definedName name="OSRRefT16x_0" localSheetId="2">Summary!$T$26:$T$60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5">'307'!$T$34:$T$41</definedName>
    <definedName name="OSRRefT22_0x_0" localSheetId="51">'308'!$T$35:$T$44</definedName>
    <definedName name="OSRRefT22_0x_0" localSheetId="64">'309'!$T$26:$T$27</definedName>
    <definedName name="OSRRefT22_0x_0" localSheetId="63">'310'!$T$29:$T$38</definedName>
    <definedName name="OSRRefT22_0x_0" localSheetId="69">'310 &amp; 491'!$T$29:$T$38</definedName>
    <definedName name="OSRRefT22_0x_0" localSheetId="52">'311'!$T$35:$T$44</definedName>
    <definedName name="OSRRefT22_0x_0" localSheetId="57">'315'!$T$44:$T$52</definedName>
    <definedName name="OSRRefT22_0x_0" localSheetId="60">'316'!$T$27:$T$35</definedName>
    <definedName name="OSRRefT22_0x_0" localSheetId="62">'317'!$T$35:$T$44</definedName>
    <definedName name="OSRRefT22_0x_0" localSheetId="65">'321'!$T$24:$T$33</definedName>
    <definedName name="OSRRefT22_0x_0" localSheetId="66">'325'!$T$25:$T$33</definedName>
    <definedName name="OSRRefT22_0x_0" localSheetId="58">'326'!$T$28:$T$36</definedName>
    <definedName name="OSRRefT22_0x_0" localSheetId="67">'327'!$T$26</definedName>
    <definedName name="OSRRefT22_0x_0" localSheetId="56">'331'!$T$44:$T$52</definedName>
    <definedName name="OSRRefT22_0x_0" localSheetId="59">'332'!$T$27:$T$35</definedName>
    <definedName name="OSRRefT22_0x_0" localSheetId="54">'333'!$T$46:$T$54</definedName>
    <definedName name="OSRRefT22_0x_0" localSheetId="71">'405'!$T$27:$T$35</definedName>
    <definedName name="OSRRefT22_0x_0" localSheetId="72">'406'!$T$20</definedName>
    <definedName name="OSRRefT22_0x_0" localSheetId="73">'411'!$T$20:$T$28</definedName>
    <definedName name="OSRRefT22_0x_0" localSheetId="74">'412'!$T$20</definedName>
    <definedName name="OSRRefT22_0x_0" localSheetId="75">'413'!$T$20</definedName>
    <definedName name="OSRRefT22_0x_0" localSheetId="76">'414'!$T$20</definedName>
    <definedName name="OSRRefT22_0x_0" localSheetId="77">'415'!$T$27:$T$35</definedName>
    <definedName name="OSRRefT22_0x_0" localSheetId="78">'418'!$T$24:$T$32</definedName>
    <definedName name="OSRRefT22_0x_0" localSheetId="79">'423'!$T$20:$T$27</definedName>
    <definedName name="OSRRefT22_0x_0" localSheetId="80">'424'!$T$20</definedName>
    <definedName name="OSRRefT22_0x_0" localSheetId="81">'425'!$T$22</definedName>
    <definedName name="OSRRefT22_0x_0" localSheetId="83">'430'!$T$20:$T$28</definedName>
    <definedName name="OSRRefT22_0x_0" localSheetId="84">'433'!$T$27:$T$36</definedName>
    <definedName name="OSRRefT22_0x_0" localSheetId="85">'435'!$T$20</definedName>
    <definedName name="OSRRefT22_0x_0" localSheetId="86">'444'!$T$27:$T$36</definedName>
    <definedName name="OSRRefT22_0x_0" localSheetId="87">'450'!$T$27:$T$36</definedName>
    <definedName name="OSRRefT22_0x_0" localSheetId="70">'491'!$T$28:$T$36</definedName>
    <definedName name="OSRRefT22_0x_0" localSheetId="82">'492'!$T$27:$T$36</definedName>
    <definedName name="OSRRefT22_0x_0" localSheetId="89">'501'!$T$21:$T$30</definedName>
    <definedName name="OSRRefT22_0x_0" localSheetId="39">'Div 2'!$T$20:$T$30</definedName>
    <definedName name="OSRRefT22_0x_0" localSheetId="47">'Div 3'!$T$60:$T$69</definedName>
    <definedName name="OSRRefT22_0x_0" localSheetId="68">'Div 4'!$T$29:$T$38</definedName>
    <definedName name="OSRRefT22_0x_0" localSheetId="88">'Div 5'!$T$21:$T$30</definedName>
    <definedName name="OSRRefT22_0x_0" localSheetId="61">'Div 6'!$T$35:$T$44</definedName>
    <definedName name="OSRRefT22_0x_0" localSheetId="2">Summary!$T$66:$T$75</definedName>
    <definedName name="OSRRefT22_10x_0" localSheetId="41">'201'!$T$59:$T$60</definedName>
    <definedName name="OSRRefT22_10x_0" localSheetId="42">'202'!$T$59</definedName>
    <definedName name="OSRRefT22_10x_0" localSheetId="43">'203'!$T$61:$T$62</definedName>
    <definedName name="OSRRefT22_10x_0" localSheetId="44">'204'!$T$63</definedName>
    <definedName name="OSRRefT22_10x_0" localSheetId="48">'300'!$T$94:$T$95</definedName>
    <definedName name="OSRRefT22_10x_0" localSheetId="49">'300 &amp; 317'!$T$100:$T$101</definedName>
    <definedName name="OSRRefT22_10x_0" localSheetId="50">'301'!$T$61</definedName>
    <definedName name="OSRRefT22_10x_0" localSheetId="55">'307'!$T$72:$T$73</definedName>
    <definedName name="OSRRefT22_10x_0" localSheetId="51">'308'!$T$76:$T$77</definedName>
    <definedName name="OSRRefT22_10x_0" localSheetId="64">'309'!$T$50:$T$51</definedName>
    <definedName name="OSRRefT22_10x_0" localSheetId="63">'310'!$T$68</definedName>
    <definedName name="OSRRefT22_10x_0" localSheetId="69">'310 &amp; 491'!$T$69</definedName>
    <definedName name="OSRRefT22_10x_0" localSheetId="52">'311'!$T$76:$T$77</definedName>
    <definedName name="OSRRefT22_10x_0" localSheetId="57">'315'!$T$82</definedName>
    <definedName name="OSRRefT22_10x_0" localSheetId="60">'316'!$T$70</definedName>
    <definedName name="OSRRefT22_10x_0" localSheetId="65">'321'!$T$64:$T$67</definedName>
    <definedName name="OSRRefT22_10x_0" localSheetId="66">'325'!$T$63</definedName>
    <definedName name="OSRRefT22_10x_0" localSheetId="58">'326'!$T$66</definedName>
    <definedName name="OSRRefT22_10x_0" localSheetId="56">'331'!$T$83</definedName>
    <definedName name="OSRRefT22_10x_0" localSheetId="59">'332'!$T$70</definedName>
    <definedName name="OSRRefT22_10x_0" localSheetId="54">'333'!$T$86</definedName>
    <definedName name="OSRRefT22_10x_0" localSheetId="71">'405'!$T$66:$T$69</definedName>
    <definedName name="OSRRefT22_10x_0" localSheetId="73">'411'!$T$63:$T$64</definedName>
    <definedName name="OSRRefT22_10x_0" localSheetId="77">'415'!$T$65</definedName>
    <definedName name="OSRRefT22_10x_0" localSheetId="78">'418'!$T$67</definedName>
    <definedName name="OSRRefT22_10x_0" localSheetId="84">'433'!$T$65</definedName>
    <definedName name="OSRRefT22_10x_0" localSheetId="86">'444'!$T$65</definedName>
    <definedName name="OSRRefT22_10x_0" localSheetId="87">'450'!$T$65</definedName>
    <definedName name="OSRRefT22_10x_0" localSheetId="70">'491'!$T$67</definedName>
    <definedName name="OSRRefT22_10x_0" localSheetId="82">'492'!$T$65</definedName>
    <definedName name="OSRRefT22_10x_0" localSheetId="89">'501'!$T$62</definedName>
    <definedName name="OSRRefT22_10x_0" localSheetId="39">'Div 2'!$T$60</definedName>
    <definedName name="OSRRefT22_10x_0" localSheetId="47">'Div 3'!$T$100:$T$101</definedName>
    <definedName name="OSRRefT22_10x_0" localSheetId="68">'Div 4'!$T$69</definedName>
    <definedName name="OSRRefT22_10x_0" localSheetId="88">'Div 5'!$T$62</definedName>
    <definedName name="OSRRefT22_10x_0" localSheetId="2">Summary!$T$106:$T$107</definedName>
    <definedName name="OSRRefT22_11x_0" localSheetId="41">'201'!$T$62</definedName>
    <definedName name="OSRRefT22_11x_0" localSheetId="42">'202'!$T$61</definedName>
    <definedName name="OSRRefT22_11x_0" localSheetId="43">'203'!$T$64:$T$67</definedName>
    <definedName name="OSRRefT22_11x_0" localSheetId="48">'300'!$T$97:$T$98</definedName>
    <definedName name="OSRRefT22_11x_0" localSheetId="49">'300 &amp; 317'!$T$103:$T$104</definedName>
    <definedName name="OSRRefT22_11x_0" localSheetId="50">'301'!$T$63</definedName>
    <definedName name="OSRRefT22_11x_0" localSheetId="55">'307'!$T$75</definedName>
    <definedName name="OSRRefT22_11x_0" localSheetId="51">'308'!$T$79:$T$80</definedName>
    <definedName name="OSRRefT22_11x_0" localSheetId="64">'309'!$T$53</definedName>
    <definedName name="OSRRefT22_11x_0" localSheetId="63">'310'!$T$70:$T$72</definedName>
    <definedName name="OSRRefT22_11x_0" localSheetId="69">'310 &amp; 491'!$T$71</definedName>
    <definedName name="OSRRefT22_11x_0" localSheetId="52">'311'!$T$79:$T$80</definedName>
    <definedName name="OSRRefT22_11x_0" localSheetId="57">'315'!$T$84</definedName>
    <definedName name="OSRRefT22_11x_0" localSheetId="65">'321'!$T$69</definedName>
    <definedName name="OSRRefT22_11x_0" localSheetId="66">'325'!$T$65:$T$67</definedName>
    <definedName name="OSRRefT22_11x_0" localSheetId="58">'326'!$T$68:$T$69</definedName>
    <definedName name="OSRRefT22_11x_0" localSheetId="56">'331'!$T$85</definedName>
    <definedName name="OSRRefT22_11x_0" localSheetId="54">'333'!$T$88</definedName>
    <definedName name="OSRRefT22_11x_0" localSheetId="71">'405'!$T$71</definedName>
    <definedName name="OSRRefT22_11x_0" localSheetId="73">'411'!$T$66</definedName>
    <definedName name="OSRRefT22_11x_0" localSheetId="77">'415'!$T$67:$T$68</definedName>
    <definedName name="OSRRefT22_11x_0" localSheetId="78">'418'!$T$69:$T$76</definedName>
    <definedName name="OSRRefT22_11x_0" localSheetId="84">'433'!$T$67:$T$69</definedName>
    <definedName name="OSRRefT22_11x_0" localSheetId="86">'444'!$T$67:$T$68</definedName>
    <definedName name="OSRRefT22_11x_0" localSheetId="87">'450'!$T$67:$T$69</definedName>
    <definedName name="OSRRefT22_11x_0" localSheetId="70">'491'!$T$69</definedName>
    <definedName name="OSRRefT22_11x_0" localSheetId="82">'492'!$T$67</definedName>
    <definedName name="OSRRefT22_11x_0" localSheetId="89">'501'!$T$64:$T$66</definedName>
    <definedName name="OSRRefT22_11x_0" localSheetId="39">'Div 2'!$T$62</definedName>
    <definedName name="OSRRefT22_11x_0" localSheetId="47">'Div 3'!$T$103:$T$104</definedName>
    <definedName name="OSRRefT22_11x_0" localSheetId="68">'Div 4'!$T$71</definedName>
    <definedName name="OSRRefT22_11x_0" localSheetId="88">'Div 5'!$T$64:$T$66</definedName>
    <definedName name="OSRRefT22_11x_0" localSheetId="2">Summary!$T$109:$T$111</definedName>
    <definedName name="OSRRefT22_12x_0" localSheetId="41">'201'!$T$64:$T$65</definedName>
    <definedName name="OSRRefT22_12x_0" localSheetId="42">'202'!$T$63</definedName>
    <definedName name="OSRRefT22_12x_0" localSheetId="43">'203'!$T$69</definedName>
    <definedName name="OSRRefT22_12x_0" localSheetId="48">'300'!$T$100</definedName>
    <definedName name="OSRRefT22_12x_0" localSheetId="49">'300 &amp; 317'!$T$106</definedName>
    <definedName name="OSRRefT22_12x_0" localSheetId="50">'301'!$T$65</definedName>
    <definedName name="OSRRefT22_12x_0" localSheetId="55">'307'!$T$77:$T$80</definedName>
    <definedName name="OSRRefT22_12x_0" localSheetId="51">'308'!$T$82:$T$83</definedName>
    <definedName name="OSRRefT22_12x_0" localSheetId="64">'309'!$T$55</definedName>
    <definedName name="OSRRefT22_12x_0" localSheetId="63">'310'!$T$74</definedName>
    <definedName name="OSRRefT22_12x_0" localSheetId="69">'310 &amp; 491'!$T$73:$T$76</definedName>
    <definedName name="OSRRefT22_12x_0" localSheetId="52">'311'!$T$82:$T$83</definedName>
    <definedName name="OSRRefT22_12x_0" localSheetId="57">'315'!$T$86:$T$87</definedName>
    <definedName name="OSRRefT22_12x_0" localSheetId="65">'321'!$T$71</definedName>
    <definedName name="OSRRefT22_12x_0" localSheetId="66">'325'!$T$69:$T$71</definedName>
    <definedName name="OSRRefT22_12x_0" localSheetId="58">'326'!$T$71:$T$72</definedName>
    <definedName name="OSRRefT22_12x_0" localSheetId="56">'331'!$T$87</definedName>
    <definedName name="OSRRefT22_12x_0" localSheetId="54">'333'!$T$90</definedName>
    <definedName name="OSRRefT22_12x_0" localSheetId="71">'405'!$T$73:$T$80</definedName>
    <definedName name="OSRRefT22_12x_0" localSheetId="73">'411'!$T$68</definedName>
    <definedName name="OSRRefT22_12x_0" localSheetId="77">'415'!$T$70:$T$73</definedName>
    <definedName name="OSRRefT22_12x_0" localSheetId="78">'418'!$T$78:$T$79</definedName>
    <definedName name="OSRRefT22_12x_0" localSheetId="84">'433'!$T$71:$T$74</definedName>
    <definedName name="OSRRefT22_12x_0" localSheetId="86">'444'!$T$70:$T$73</definedName>
    <definedName name="OSRRefT22_12x_0" localSheetId="87">'450'!$T$71:$T$74</definedName>
    <definedName name="OSRRefT22_12x_0" localSheetId="70">'491'!$T$71:$T$74</definedName>
    <definedName name="OSRRefT22_12x_0" localSheetId="82">'492'!$T$69:$T$71</definedName>
    <definedName name="OSRRefT22_12x_0" localSheetId="89">'501'!$T$68</definedName>
    <definedName name="OSRRefT22_12x_0" localSheetId="39">'Div 2'!$T$64:$T$67</definedName>
    <definedName name="OSRRefT22_12x_0" localSheetId="47">'Div 3'!$T$106</definedName>
    <definedName name="OSRRefT22_12x_0" localSheetId="68">'Div 4'!$T$73</definedName>
    <definedName name="OSRRefT22_12x_0" localSheetId="88">'Div 5'!$T$68</definedName>
    <definedName name="OSRRefT22_12x_0" localSheetId="2">Summary!$T$113</definedName>
    <definedName name="OSRRefT22_13x_0" localSheetId="41">'201'!$T$67</definedName>
    <definedName name="OSRRefT22_13x_0" localSheetId="43">'203'!$T$71</definedName>
    <definedName name="OSRRefT22_13x_0" localSheetId="48">'300'!$T$102</definedName>
    <definedName name="OSRRefT22_13x_0" localSheetId="49">'300 &amp; 317'!$T$108</definedName>
    <definedName name="OSRRefT22_13x_0" localSheetId="50">'301'!$T$67</definedName>
    <definedName name="OSRRefT22_13x_0" localSheetId="55">'307'!$T$82</definedName>
    <definedName name="OSRRefT22_13x_0" localSheetId="51">'308'!$T$85</definedName>
    <definedName name="OSRRefT22_13x_0" localSheetId="63">'310'!$T$76:$T$78</definedName>
    <definedName name="OSRRefT22_13x_0" localSheetId="69">'310 &amp; 491'!$T$78:$T$79</definedName>
    <definedName name="OSRRefT22_13x_0" localSheetId="52">'311'!$T$85</definedName>
    <definedName name="OSRRefT22_13x_0" localSheetId="57">'315'!$T$89:$T$91</definedName>
    <definedName name="OSRRefT22_13x_0" localSheetId="66">'325'!$T$73:$T$77</definedName>
    <definedName name="OSRRefT22_13x_0" localSheetId="58">'326'!$T$74:$T$75</definedName>
    <definedName name="OSRRefT22_13x_0" localSheetId="56">'331'!$T$89</definedName>
    <definedName name="OSRRefT22_13x_0" localSheetId="54">'333'!$T$92</definedName>
    <definedName name="OSRRefT22_13x_0" localSheetId="71">'405'!$T$82</definedName>
    <definedName name="OSRRefT22_13x_0" localSheetId="73">'411'!$T$70:$T$71</definedName>
    <definedName name="OSRRefT22_13x_0" localSheetId="77">'415'!$T$75</definedName>
    <definedName name="OSRRefT22_13x_0" localSheetId="78">'418'!$T$81</definedName>
    <definedName name="OSRRefT22_13x_0" localSheetId="84">'433'!$T$76:$T$83</definedName>
    <definedName name="OSRRefT22_13x_0" localSheetId="86">'444'!$T$75</definedName>
    <definedName name="OSRRefT22_13x_0" localSheetId="87">'450'!$T$76:$T$82</definedName>
    <definedName name="OSRRefT22_13x_0" localSheetId="70">'491'!$T$76</definedName>
    <definedName name="OSRRefT22_13x_0" localSheetId="82">'492'!$T$73:$T$76</definedName>
    <definedName name="OSRRefT22_13x_0" localSheetId="89">'501'!$T$70</definedName>
    <definedName name="OSRRefT22_13x_0" localSheetId="39">'Div 2'!$T$69:$T$72</definedName>
    <definedName name="OSRRefT22_13x_0" localSheetId="47">'Div 3'!$T$108</definedName>
    <definedName name="OSRRefT22_13x_0" localSheetId="68">'Div 4'!$T$75</definedName>
    <definedName name="OSRRefT22_13x_0" localSheetId="88">'Div 5'!$T$70</definedName>
    <definedName name="OSRRefT22_13x_0" localSheetId="2">Summary!$T$115</definedName>
    <definedName name="OSRRefT22_14x_0" localSheetId="41">'201'!$T$69</definedName>
    <definedName name="OSRRefT22_14x_0" localSheetId="43">'203'!$T$73</definedName>
    <definedName name="OSRRefT22_14x_0" localSheetId="48">'300'!$T$104</definedName>
    <definedName name="OSRRefT22_14x_0" localSheetId="49">'300 &amp; 317'!$T$110</definedName>
    <definedName name="OSRRefT22_14x_0" localSheetId="50">'301'!$T$69</definedName>
    <definedName name="OSRRefT22_14x_0" localSheetId="63">'310'!$T$80:$T$84</definedName>
    <definedName name="OSRRefT22_14x_0" localSheetId="69">'310 &amp; 491'!$T$81:$T$85</definedName>
    <definedName name="OSRRefT22_14x_0" localSheetId="57">'315'!$T$93:$T$94</definedName>
    <definedName name="OSRRefT22_14x_0" localSheetId="66">'325'!$T$79:$T$80</definedName>
    <definedName name="OSRRefT22_14x_0" localSheetId="58">'326'!$T$77:$T$79</definedName>
    <definedName name="OSRRefT22_14x_0" localSheetId="56">'331'!$T$91:$T$92</definedName>
    <definedName name="OSRRefT22_14x_0" localSheetId="54">'333'!$T$94:$T$95</definedName>
    <definedName name="OSRRefT22_14x_0" localSheetId="71">'405'!$T$84</definedName>
    <definedName name="OSRRefT22_14x_0" localSheetId="73">'411'!$T$73</definedName>
    <definedName name="OSRRefT22_14x_0" localSheetId="77">'415'!$T$77:$T$83</definedName>
    <definedName name="OSRRefT22_14x_0" localSheetId="78">'418'!$T$83</definedName>
    <definedName name="OSRRefT22_14x_0" localSheetId="84">'433'!$T$85</definedName>
    <definedName name="OSRRefT22_14x_0" localSheetId="86">'444'!$T$77:$T$85</definedName>
    <definedName name="OSRRefT22_14x_0" localSheetId="87">'450'!$T$84</definedName>
    <definedName name="OSRRefT22_14x_0" localSheetId="70">'491'!$T$78:$T$82</definedName>
    <definedName name="OSRRefT22_14x_0" localSheetId="82">'492'!$T$78</definedName>
    <definedName name="OSRRefT22_14x_0" localSheetId="39">'Div 2'!$T$74:$T$75</definedName>
    <definedName name="OSRRefT22_14x_0" localSheetId="47">'Div 3'!$T$110</definedName>
    <definedName name="OSRRefT22_14x_0" localSheetId="68">'Div 4'!$T$77:$T$80</definedName>
    <definedName name="OSRRefT22_14x_0" localSheetId="2">Summary!$T$117</definedName>
    <definedName name="OSRRefT22_15x_0" localSheetId="41">'201'!$T$71</definedName>
    <definedName name="OSRRefT22_15x_0" localSheetId="48">'300'!$T$106</definedName>
    <definedName name="OSRRefT22_15x_0" localSheetId="49">'300 &amp; 317'!$T$112</definedName>
    <definedName name="OSRRefT22_15x_0" localSheetId="50">'301'!$T$71:$T$74</definedName>
    <definedName name="OSRRefT22_15x_0" localSheetId="63">'310'!$T$86:$T$87</definedName>
    <definedName name="OSRRefT22_15x_0" localSheetId="69">'310 &amp; 491'!$T$87</definedName>
    <definedName name="OSRRefT22_15x_0" localSheetId="57">'315'!$T$96:$T$99</definedName>
    <definedName name="OSRRefT22_15x_0" localSheetId="66">'325'!$T$82</definedName>
    <definedName name="OSRRefT22_15x_0" localSheetId="58">'326'!$T$81</definedName>
    <definedName name="OSRRefT22_15x_0" localSheetId="56">'331'!$T$94:$T$96</definedName>
    <definedName name="OSRRefT22_15x_0" localSheetId="54">'333'!$T$97:$T$99</definedName>
    <definedName name="OSRRefT22_15x_0" localSheetId="71">'405'!$T$86</definedName>
    <definedName name="OSRRefT22_15x_0" localSheetId="77">'415'!$T$85:$T$86</definedName>
    <definedName name="OSRRefT22_15x_0" localSheetId="84">'433'!$T$87</definedName>
    <definedName name="OSRRefT22_15x_0" localSheetId="86">'444'!$T$87</definedName>
    <definedName name="OSRRefT22_15x_0" localSheetId="87">'450'!$T$86</definedName>
    <definedName name="OSRRefT22_15x_0" localSheetId="70">'491'!$T$84</definedName>
    <definedName name="OSRRefT22_15x_0" localSheetId="82">'492'!$T$80:$T$88</definedName>
    <definedName name="OSRRefT22_15x_0" localSheetId="39">'Div 2'!$T$77:$T$78</definedName>
    <definedName name="OSRRefT22_15x_0" localSheetId="47">'Div 3'!$T$112</definedName>
    <definedName name="OSRRefT22_15x_0" localSheetId="68">'Div 4'!$T$82</definedName>
    <definedName name="OSRRefT22_15x_0" localSheetId="2">Summary!$T$119</definedName>
    <definedName name="OSRRefT22_16x_0" localSheetId="48">'300'!$T$108:$T$111</definedName>
    <definedName name="OSRRefT22_16x_0" localSheetId="49">'300 &amp; 317'!$T$114:$T$117</definedName>
    <definedName name="OSRRefT22_16x_0" localSheetId="50">'301'!$T$76:$T$77</definedName>
    <definedName name="OSRRefT22_16x_0" localSheetId="63">'310'!$T$89</definedName>
    <definedName name="OSRRefT22_16x_0" localSheetId="69">'310 &amp; 491'!$T$89:$T$98</definedName>
    <definedName name="OSRRefT22_16x_0" localSheetId="57">'315'!$T$101</definedName>
    <definedName name="OSRRefT22_16x_0" localSheetId="66">'325'!$T$84</definedName>
    <definedName name="OSRRefT22_16x_0" localSheetId="58">'326'!$T$83:$T$84</definedName>
    <definedName name="OSRRefT22_16x_0" localSheetId="56">'331'!$T$98:$T$99</definedName>
    <definedName name="OSRRefT22_16x_0" localSheetId="54">'333'!$T$101:$T$103</definedName>
    <definedName name="OSRRefT22_16x_0" localSheetId="71">'405'!$T$88</definedName>
    <definedName name="OSRRefT22_16x_0" localSheetId="77">'415'!$T$88</definedName>
    <definedName name="OSRRefT22_16x_0" localSheetId="86">'444'!$T$89</definedName>
    <definedName name="OSRRefT22_16x_0" localSheetId="87">'450'!$T$88</definedName>
    <definedName name="OSRRefT22_16x_0" localSheetId="70">'491'!$T$86:$T$95</definedName>
    <definedName name="OSRRefT22_16x_0" localSheetId="82">'492'!$T$90:$T$91</definedName>
    <definedName name="OSRRefT22_16x_0" localSheetId="39">'Div 2'!$T$80:$T$85</definedName>
    <definedName name="OSRRefT22_16x_0" localSheetId="47">'Div 3'!$T$114</definedName>
    <definedName name="OSRRefT22_16x_0" localSheetId="68">'Div 4'!$T$84:$T$88</definedName>
    <definedName name="OSRRefT22_16x_0" localSheetId="2">Summary!$T$121</definedName>
    <definedName name="OSRRefT22_17x_0" localSheetId="48">'300'!$T$113:$T$116</definedName>
    <definedName name="OSRRefT22_17x_0" localSheetId="49">'300 &amp; 317'!$T$119:$T$122</definedName>
    <definedName name="OSRRefT22_17x_0" localSheetId="50">'301'!$T$79</definedName>
    <definedName name="OSRRefT22_17x_0" localSheetId="63">'310'!$T$91</definedName>
    <definedName name="OSRRefT22_17x_0" localSheetId="69">'310 &amp; 491'!$T$100:$T$101</definedName>
    <definedName name="OSRRefT22_17x_0" localSheetId="57">'315'!$T$103</definedName>
    <definedName name="OSRRefT22_17x_0" localSheetId="58">'326'!$T$86</definedName>
    <definedName name="OSRRefT22_17x_0" localSheetId="56">'331'!$T$101:$T$102</definedName>
    <definedName name="OSRRefT22_17x_0" localSheetId="54">'333'!$T$105:$T$106</definedName>
    <definedName name="OSRRefT22_17x_0" localSheetId="77">'415'!$T$90</definedName>
    <definedName name="OSRRefT22_17x_0" localSheetId="70">'491'!$T$97:$T$98</definedName>
    <definedName name="OSRRefT22_17x_0" localSheetId="82">'492'!$T$93</definedName>
    <definedName name="OSRRefT22_17x_0" localSheetId="39">'Div 2'!$T$87:$T$88</definedName>
    <definedName name="OSRRefT22_17x_0" localSheetId="47">'Div 3'!$T$116:$T$119</definedName>
    <definedName name="OSRRefT22_17x_0" localSheetId="68">'Div 4'!$T$90:$T$91</definedName>
    <definedName name="OSRRefT22_17x_0" localSheetId="2">Summary!$T$123</definedName>
    <definedName name="OSRRefT22_18x_0" localSheetId="48">'300'!$T$118:$T$120</definedName>
    <definedName name="OSRRefT22_18x_0" localSheetId="49">'300 &amp; 317'!$T$124:$T$126</definedName>
    <definedName name="OSRRefT22_18x_0" localSheetId="50">'301'!$T$81:$T$86</definedName>
    <definedName name="OSRRefT22_18x_0" localSheetId="69">'310 &amp; 491'!$T$103</definedName>
    <definedName name="OSRRefT22_18x_0" localSheetId="57">'315'!$T$105</definedName>
    <definedName name="OSRRefT22_18x_0" localSheetId="56">'331'!$T$104:$T$108</definedName>
    <definedName name="OSRRefT22_18x_0" localSheetId="54">'333'!$T$108:$T$113</definedName>
    <definedName name="OSRRefT22_18x_0" localSheetId="70">'491'!$T$100</definedName>
    <definedName name="OSRRefT22_18x_0" localSheetId="82">'492'!$T$95:$T$96</definedName>
    <definedName name="OSRRefT22_18x_0" localSheetId="39">'Div 2'!$T$90</definedName>
    <definedName name="OSRRefT22_18x_0" localSheetId="47">'Div 3'!$T$121:$T$124</definedName>
    <definedName name="OSRRefT22_18x_0" localSheetId="68">'Div 4'!$T$93:$T$102</definedName>
    <definedName name="OSRRefT22_18x_0" localSheetId="2">Summary!$T$125:$T$128</definedName>
    <definedName name="OSRRefT22_19x_0" localSheetId="48">'300'!$T$122:$T$123</definedName>
    <definedName name="OSRRefT22_19x_0" localSheetId="49">'300 &amp; 317'!$T$128:$T$129</definedName>
    <definedName name="OSRRefT22_19x_0" localSheetId="50">'301'!$T$88</definedName>
    <definedName name="OSRRefT22_19x_0" localSheetId="69">'310 &amp; 491'!$T$105:$T$106</definedName>
    <definedName name="OSRRefT22_19x_0" localSheetId="56">'331'!$T$110</definedName>
    <definedName name="OSRRefT22_19x_0" localSheetId="54">'333'!$T$115</definedName>
    <definedName name="OSRRefT22_19x_0" localSheetId="70">'491'!$T$102:$T$103</definedName>
    <definedName name="OSRRefT22_19x_0" localSheetId="39">'Div 2'!$T$92:$T$93</definedName>
    <definedName name="OSRRefT22_19x_0" localSheetId="47">'Div 3'!$T$126:$T$129</definedName>
    <definedName name="OSRRefT22_19x_0" localSheetId="68">'Div 4'!$T$104:$T$105</definedName>
    <definedName name="OSRRefT22_19x_0" localSheetId="2">Summary!$T$130:$T$133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5">'307'!$T$43:$T$52</definedName>
    <definedName name="OSRRefT22_1x_0" localSheetId="51">'308'!$T$46:$T$55</definedName>
    <definedName name="OSRRefT22_1x_0" localSheetId="64">'309'!$T$29:$T$30</definedName>
    <definedName name="OSRRefT22_1x_0" localSheetId="63">'310'!$T$40:$T$49</definedName>
    <definedName name="OSRRefT22_1x_0" localSheetId="69">'310 &amp; 491'!$T$40:$T$49</definedName>
    <definedName name="OSRRefT22_1x_0" localSheetId="52">'311'!$T$46:$T$55</definedName>
    <definedName name="OSRRefT22_1x_0" localSheetId="57">'315'!$T$54:$T$63</definedName>
    <definedName name="OSRRefT22_1x_0" localSheetId="60">'316'!$T$37:$T$46</definedName>
    <definedName name="OSRRefT22_1x_0" localSheetId="62">'317'!$T$46:$T$55</definedName>
    <definedName name="OSRRefT22_1x_0" localSheetId="65">'321'!$T$35:$T$44</definedName>
    <definedName name="OSRRefT22_1x_0" localSheetId="66">'325'!$T$35:$T$44</definedName>
    <definedName name="OSRRefT22_1x_0" localSheetId="58">'326'!$T$38:$T$47</definedName>
    <definedName name="OSRRefT22_1x_0" localSheetId="67">'327'!$T$28</definedName>
    <definedName name="OSRRefT22_1x_0" localSheetId="56">'331'!$T$54:$T$63</definedName>
    <definedName name="OSRRefT22_1x_0" localSheetId="59">'332'!$T$37:$T$46</definedName>
    <definedName name="OSRRefT22_1x_0" localSheetId="54">'333'!$T$56:$T$65</definedName>
    <definedName name="OSRRefT22_1x_0" localSheetId="71">'405'!$T$37:$T$46</definedName>
    <definedName name="OSRRefT22_1x_0" localSheetId="72">'406'!$T$22</definedName>
    <definedName name="OSRRefT22_1x_0" localSheetId="73">'411'!$T$30:$T$39</definedName>
    <definedName name="OSRRefT22_1x_0" localSheetId="74">'412'!$T$22</definedName>
    <definedName name="OSRRefT22_1x_0" localSheetId="75">'413'!$T$22</definedName>
    <definedName name="OSRRefT22_1x_0" localSheetId="76">'414'!$T$22</definedName>
    <definedName name="OSRRefT22_1x_0" localSheetId="77">'415'!$T$37:$T$46</definedName>
    <definedName name="OSRRefT22_1x_0" localSheetId="78">'418'!$T$34:$T$43</definedName>
    <definedName name="OSRRefT22_1x_0" localSheetId="79">'423'!$T$29:$T$38</definedName>
    <definedName name="OSRRefT22_1x_0" localSheetId="80">'424'!$T$22</definedName>
    <definedName name="OSRRefT22_1x_0" localSheetId="81">'425'!$T$24</definedName>
    <definedName name="OSRRefT22_1x_0" localSheetId="83">'430'!$T$30:$T$39</definedName>
    <definedName name="OSRRefT22_1x_0" localSheetId="84">'433'!$T$38:$T$47</definedName>
    <definedName name="OSRRefT22_1x_0" localSheetId="86">'444'!$T$38:$T$47</definedName>
    <definedName name="OSRRefT22_1x_0" localSheetId="87">'450'!$T$38:$T$47</definedName>
    <definedName name="OSRRefT22_1x_0" localSheetId="70">'491'!$T$38:$T$47</definedName>
    <definedName name="OSRRefT22_1x_0" localSheetId="82">'492'!$T$38:$T$47</definedName>
    <definedName name="OSRRefT22_1x_0" localSheetId="89">'501'!$T$32:$T$41</definedName>
    <definedName name="OSRRefT22_1x_0" localSheetId="39">'Div 2'!$T$32:$T$41</definedName>
    <definedName name="OSRRefT22_1x_0" localSheetId="47">'Div 3'!$T$71:$T$80</definedName>
    <definedName name="OSRRefT22_1x_0" localSheetId="68">'Div 4'!$T$40:$T$49</definedName>
    <definedName name="OSRRefT22_1x_0" localSheetId="88">'Div 5'!$T$32:$T$41</definedName>
    <definedName name="OSRRefT22_1x_0" localSheetId="61">'Div 6'!$T$46:$T$55</definedName>
    <definedName name="OSRRefT22_1x_0" localSheetId="2">Summary!$T$77:$T$86</definedName>
    <definedName name="OSRRefT22_20x_0" localSheetId="48">'300'!$T$125:$T$131</definedName>
    <definedName name="OSRRefT22_20x_0" localSheetId="49">'300 &amp; 317'!$T$131:$T$137</definedName>
    <definedName name="OSRRefT22_20x_0" localSheetId="50">'301'!$T$90</definedName>
    <definedName name="OSRRefT22_20x_0" localSheetId="69">'310 &amp; 491'!$T$108</definedName>
    <definedName name="OSRRefT22_20x_0" localSheetId="56">'331'!$T$112</definedName>
    <definedName name="OSRRefT22_20x_0" localSheetId="54">'333'!$T$117</definedName>
    <definedName name="OSRRefT22_20x_0" localSheetId="70">'491'!$T$105</definedName>
    <definedName name="OSRRefT22_20x_0" localSheetId="47">'Div 3'!$T$131:$T$132</definedName>
    <definedName name="OSRRefT22_20x_0" localSheetId="68">'Div 4'!$T$107</definedName>
    <definedName name="OSRRefT22_20x_0" localSheetId="2">Summary!$T$135:$T$139</definedName>
    <definedName name="OSRRefT22_21x_0" localSheetId="48">'300'!$T$133:$T$134</definedName>
    <definedName name="OSRRefT22_21x_0" localSheetId="49">'300 &amp; 317'!$T$139:$T$140</definedName>
    <definedName name="OSRRefT22_21x_0" localSheetId="50">'301'!$T$92:$T$93</definedName>
    <definedName name="OSRRefT22_21x_0" localSheetId="56">'331'!$T$114:$T$115</definedName>
    <definedName name="OSRRefT22_21x_0" localSheetId="54">'333'!$T$119:$T$120</definedName>
    <definedName name="OSRRefT22_21x_0" localSheetId="47">'Div 3'!$T$134:$T$140</definedName>
    <definedName name="OSRRefT22_21x_0" localSheetId="68">'Div 4'!$T$109:$T$110</definedName>
    <definedName name="OSRRefT22_21x_0" localSheetId="2">Summary!$T$141:$T$142</definedName>
    <definedName name="OSRRefT22_22x_0" localSheetId="48">'300'!$T$136</definedName>
    <definedName name="OSRRefT22_22x_0" localSheetId="49">'300 &amp; 317'!$T$142</definedName>
    <definedName name="OSRRefT22_22x_0" localSheetId="50">'301'!$T$95</definedName>
    <definedName name="OSRRefT22_22x_0" localSheetId="56">'331'!$T$117</definedName>
    <definedName name="OSRRefT22_22x_0" localSheetId="54">'333'!$T$122</definedName>
    <definedName name="OSRRefT22_22x_0" localSheetId="47">'Div 3'!$T$142:$T$143</definedName>
    <definedName name="OSRRefT22_22x_0" localSheetId="68">'Div 4'!$T$112</definedName>
    <definedName name="OSRRefT22_22x_0" localSheetId="2">Summary!$T$144:$T$153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3'!$T$145</definedName>
    <definedName name="OSRRefT22_23x_0" localSheetId="2">Summary!$T$155:$T$156</definedName>
    <definedName name="OSRRefT22_24x_0" localSheetId="48">'300'!$T$142</definedName>
    <definedName name="OSRRefT22_24x_0" localSheetId="49">'300 &amp; 317'!$T$148</definedName>
    <definedName name="OSRRefT22_24x_0" localSheetId="47">'Div 3'!$T$147:$T$149</definedName>
    <definedName name="OSRRefT22_24x_0" localSheetId="2">Summary!$T$158</definedName>
    <definedName name="OSRRefT22_25x_0" localSheetId="47">'Div 3'!$T$151</definedName>
    <definedName name="OSRRefT22_25x_0" localSheetId="2">Summary!$T$160:$T$162</definedName>
    <definedName name="OSRRefT22_26x_0" localSheetId="2">Summary!$T$164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5">'307'!$T$54</definedName>
    <definedName name="OSRRefT22_2x_0" localSheetId="51">'308'!$T$57</definedName>
    <definedName name="OSRRefT22_2x_0" localSheetId="64">'309'!$T$32</definedName>
    <definedName name="OSRRefT22_2x_0" localSheetId="63">'310'!$T$51</definedName>
    <definedName name="OSRRefT22_2x_0" localSheetId="69">'310 &amp; 491'!$T$51</definedName>
    <definedName name="OSRRefT22_2x_0" localSheetId="52">'311'!$T$57</definedName>
    <definedName name="OSRRefT22_2x_0" localSheetId="57">'315'!$T$65</definedName>
    <definedName name="OSRRefT22_2x_0" localSheetId="60">'316'!$T$48</definedName>
    <definedName name="OSRRefT22_2x_0" localSheetId="62">'317'!$T$57</definedName>
    <definedName name="OSRRefT22_2x_0" localSheetId="65">'321'!$T$46</definedName>
    <definedName name="OSRRefT22_2x_0" localSheetId="66">'325'!$T$46</definedName>
    <definedName name="OSRRefT22_2x_0" localSheetId="58">'326'!$T$49</definedName>
    <definedName name="OSRRefT22_2x_0" localSheetId="56">'331'!$T$65</definedName>
    <definedName name="OSRRefT22_2x_0" localSheetId="59">'332'!$T$48</definedName>
    <definedName name="OSRRefT22_2x_0" localSheetId="54">'333'!$T$67</definedName>
    <definedName name="OSRRefT22_2x_0" localSheetId="71">'405'!$T$48</definedName>
    <definedName name="OSRRefT22_2x_0" localSheetId="73">'411'!$T$41</definedName>
    <definedName name="OSRRefT22_2x_0" localSheetId="74">'412'!$T$24</definedName>
    <definedName name="OSRRefT22_2x_0" localSheetId="75">'413'!$T$24</definedName>
    <definedName name="OSRRefT22_2x_0" localSheetId="76">'414'!$T$24</definedName>
    <definedName name="OSRRefT22_2x_0" localSheetId="77">'415'!$T$48</definedName>
    <definedName name="OSRRefT22_2x_0" localSheetId="78">'418'!$T$45</definedName>
    <definedName name="OSRRefT22_2x_0" localSheetId="79">'423'!$T$40</definedName>
    <definedName name="OSRRefT22_2x_0" localSheetId="80">'424'!$T$24</definedName>
    <definedName name="OSRRefT22_2x_0" localSheetId="81">'425'!$T$26</definedName>
    <definedName name="OSRRefT22_2x_0" localSheetId="83">'430'!$T$41</definedName>
    <definedName name="OSRRefT22_2x_0" localSheetId="84">'433'!$T$49</definedName>
    <definedName name="OSRRefT22_2x_0" localSheetId="86">'444'!$T$49</definedName>
    <definedName name="OSRRefT22_2x_0" localSheetId="87">'450'!$T$49</definedName>
    <definedName name="OSRRefT22_2x_0" localSheetId="70">'491'!$T$49</definedName>
    <definedName name="OSRRefT22_2x_0" localSheetId="82">'492'!$T$49</definedName>
    <definedName name="OSRRefT22_2x_0" localSheetId="89">'501'!$T$43</definedName>
    <definedName name="OSRRefT22_2x_0" localSheetId="39">'Div 2'!$T$43</definedName>
    <definedName name="OSRRefT22_2x_0" localSheetId="47">'Div 3'!$T$82</definedName>
    <definedName name="OSRRefT22_2x_0" localSheetId="68">'Div 4'!$T$51</definedName>
    <definedName name="OSRRefT22_2x_0" localSheetId="88">'Div 5'!$T$43</definedName>
    <definedName name="OSRRefT22_2x_0" localSheetId="61">'Div 6'!$T$57</definedName>
    <definedName name="OSRRefT22_2x_0" localSheetId="2">Summary!$T$88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5">'307'!$T$56</definedName>
    <definedName name="OSRRefT22_3x_0" localSheetId="51">'308'!$T$59</definedName>
    <definedName name="OSRRefT22_3x_0" localSheetId="64">'309'!$T$34</definedName>
    <definedName name="OSRRefT22_3x_0" localSheetId="63">'310'!$T$53</definedName>
    <definedName name="OSRRefT22_3x_0" localSheetId="69">'310 &amp; 491'!$T$53</definedName>
    <definedName name="OSRRefT22_3x_0" localSheetId="52">'311'!$T$59</definedName>
    <definedName name="OSRRefT22_3x_0" localSheetId="57">'315'!$T$67</definedName>
    <definedName name="OSRRefT22_3x_0" localSheetId="60">'316'!$T$50</definedName>
    <definedName name="OSRRefT22_3x_0" localSheetId="62">'317'!$T$59</definedName>
    <definedName name="OSRRefT22_3x_0" localSheetId="65">'321'!$T$48</definedName>
    <definedName name="OSRRefT22_3x_0" localSheetId="66">'325'!$T$48</definedName>
    <definedName name="OSRRefT22_3x_0" localSheetId="58">'326'!$T$51</definedName>
    <definedName name="OSRRefT22_3x_0" localSheetId="56">'331'!$T$67</definedName>
    <definedName name="OSRRefT22_3x_0" localSheetId="59">'332'!$T$50</definedName>
    <definedName name="OSRRefT22_3x_0" localSheetId="54">'333'!$T$69</definedName>
    <definedName name="OSRRefT22_3x_0" localSheetId="71">'405'!$T$50</definedName>
    <definedName name="OSRRefT22_3x_0" localSheetId="73">'411'!$T$43:$T$44</definedName>
    <definedName name="OSRRefT22_3x_0" localSheetId="74">'412'!$T$26</definedName>
    <definedName name="OSRRefT22_3x_0" localSheetId="77">'415'!$T$50</definedName>
    <definedName name="OSRRefT22_3x_0" localSheetId="78">'418'!$T$47</definedName>
    <definedName name="OSRRefT22_3x_0" localSheetId="79">'423'!$T$42</definedName>
    <definedName name="OSRRefT22_3x_0" localSheetId="81">'425'!$T$28</definedName>
    <definedName name="OSRRefT22_3x_0" localSheetId="83">'430'!$T$43</definedName>
    <definedName name="OSRRefT22_3x_0" localSheetId="84">'433'!$T$51</definedName>
    <definedName name="OSRRefT22_3x_0" localSheetId="86">'444'!$T$51</definedName>
    <definedName name="OSRRefT22_3x_0" localSheetId="87">'450'!$T$51</definedName>
    <definedName name="OSRRefT22_3x_0" localSheetId="70">'491'!$T$51</definedName>
    <definedName name="OSRRefT22_3x_0" localSheetId="82">'492'!$T$51</definedName>
    <definedName name="OSRRefT22_3x_0" localSheetId="89">'501'!$T$45</definedName>
    <definedName name="OSRRefT22_3x_0" localSheetId="39">'Div 2'!$T$45</definedName>
    <definedName name="OSRRefT22_3x_0" localSheetId="47">'Div 3'!$T$84</definedName>
    <definedName name="OSRRefT22_3x_0" localSheetId="68">'Div 4'!$T$53</definedName>
    <definedName name="OSRRefT22_3x_0" localSheetId="88">'Div 5'!$T$45</definedName>
    <definedName name="OSRRefT22_3x_0" localSheetId="61">'Div 6'!$T$59</definedName>
    <definedName name="OSRRefT22_3x_0" localSheetId="2">Summary!$T$90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5">'307'!$T$58</definedName>
    <definedName name="OSRRefT22_4x_0" localSheetId="51">'308'!$T$61</definedName>
    <definedName name="OSRRefT22_4x_0" localSheetId="64">'309'!$T$36</definedName>
    <definedName name="OSRRefT22_4x_0" localSheetId="63">'310'!$T$55</definedName>
    <definedName name="OSRRefT22_4x_0" localSheetId="69">'310 &amp; 491'!$T$55</definedName>
    <definedName name="OSRRefT22_4x_0" localSheetId="52">'311'!$T$61</definedName>
    <definedName name="OSRRefT22_4x_0" localSheetId="57">'315'!$T$69</definedName>
    <definedName name="OSRRefT22_4x_0" localSheetId="60">'316'!$T$52</definedName>
    <definedName name="OSRRefT22_4x_0" localSheetId="62">'317'!$T$61</definedName>
    <definedName name="OSRRefT22_4x_0" localSheetId="65">'321'!$T$50</definedName>
    <definedName name="OSRRefT22_4x_0" localSheetId="66">'325'!$T$50</definedName>
    <definedName name="OSRRefT22_4x_0" localSheetId="58">'326'!$T$53</definedName>
    <definedName name="OSRRefT22_4x_0" localSheetId="56">'331'!$T$69</definedName>
    <definedName name="OSRRefT22_4x_0" localSheetId="59">'332'!$T$52</definedName>
    <definedName name="OSRRefT22_4x_0" localSheetId="54">'333'!$T$71</definedName>
    <definedName name="OSRRefT22_4x_0" localSheetId="71">'405'!$T$52</definedName>
    <definedName name="OSRRefT22_4x_0" localSheetId="73">'411'!$T$46</definedName>
    <definedName name="OSRRefT22_4x_0" localSheetId="77">'415'!$T$52</definedName>
    <definedName name="OSRRefT22_4x_0" localSheetId="78">'418'!$T$49:$T$50</definedName>
    <definedName name="OSRRefT22_4x_0" localSheetId="79">'423'!$T$44</definedName>
    <definedName name="OSRRefT22_4x_0" localSheetId="81">'425'!$T$30</definedName>
    <definedName name="OSRRefT22_4x_0" localSheetId="83">'430'!$T$45</definedName>
    <definedName name="OSRRefT22_4x_0" localSheetId="84">'433'!$T$53</definedName>
    <definedName name="OSRRefT22_4x_0" localSheetId="86">'444'!$T$53</definedName>
    <definedName name="OSRRefT22_4x_0" localSheetId="87">'450'!$T$53</definedName>
    <definedName name="OSRRefT22_4x_0" localSheetId="70">'491'!$T$53</definedName>
    <definedName name="OSRRefT22_4x_0" localSheetId="82">'492'!$T$53</definedName>
    <definedName name="OSRRefT22_4x_0" localSheetId="89">'501'!$T$47</definedName>
    <definedName name="OSRRefT22_4x_0" localSheetId="39">'Div 2'!$T$47</definedName>
    <definedName name="OSRRefT22_4x_0" localSheetId="47">'Div 3'!$T$86</definedName>
    <definedName name="OSRRefT22_4x_0" localSheetId="68">'Div 4'!$T$55</definedName>
    <definedName name="OSRRefT22_4x_0" localSheetId="88">'Div 5'!$T$47</definedName>
    <definedName name="OSRRefT22_4x_0" localSheetId="61">'Div 6'!$T$61</definedName>
    <definedName name="OSRRefT22_4x_0" localSheetId="2">Summary!$T$92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5">'307'!$T$60:$T$61</definedName>
    <definedName name="OSRRefT22_5x_0" localSheetId="51">'308'!$T$63</definedName>
    <definedName name="OSRRefT22_5x_0" localSheetId="64">'309'!$T$38</definedName>
    <definedName name="OSRRefT22_5x_0" localSheetId="63">'310'!$T$57:$T$58</definedName>
    <definedName name="OSRRefT22_5x_0" localSheetId="69">'310 &amp; 491'!$T$57:$T$58</definedName>
    <definedName name="OSRRefT22_5x_0" localSheetId="52">'311'!$T$63</definedName>
    <definedName name="OSRRefT22_5x_0" localSheetId="57">'315'!$T$71</definedName>
    <definedName name="OSRRefT22_5x_0" localSheetId="60">'316'!$T$54:$T$55</definedName>
    <definedName name="OSRRefT22_5x_0" localSheetId="62">'317'!$T$63</definedName>
    <definedName name="OSRRefT22_5x_0" localSheetId="65">'321'!$T$52</definedName>
    <definedName name="OSRRefT22_5x_0" localSheetId="66">'325'!$T$52:$T$53</definedName>
    <definedName name="OSRRefT22_5x_0" localSheetId="58">'326'!$T$55</definedName>
    <definedName name="OSRRefT22_5x_0" localSheetId="56">'331'!$T$71</definedName>
    <definedName name="OSRRefT22_5x_0" localSheetId="59">'332'!$T$54:$T$55</definedName>
    <definedName name="OSRRefT22_5x_0" localSheetId="54">'333'!$T$73:$T$74</definedName>
    <definedName name="OSRRefT22_5x_0" localSheetId="71">'405'!$T$54:$T$55</definedName>
    <definedName name="OSRRefT22_5x_0" localSheetId="73">'411'!$T$48</definedName>
    <definedName name="OSRRefT22_5x_0" localSheetId="77">'415'!$T$54:$T$55</definedName>
    <definedName name="OSRRefT22_5x_0" localSheetId="78">'418'!$T$52</definedName>
    <definedName name="OSRRefT22_5x_0" localSheetId="79">'423'!$T$46</definedName>
    <definedName name="OSRRefT22_5x_0" localSheetId="81">'425'!$T$32</definedName>
    <definedName name="OSRRefT22_5x_0" localSheetId="83">'430'!$T$47:$T$48</definedName>
    <definedName name="OSRRefT22_5x_0" localSheetId="84">'433'!$T$55</definedName>
    <definedName name="OSRRefT22_5x_0" localSheetId="86">'444'!$T$55</definedName>
    <definedName name="OSRRefT22_5x_0" localSheetId="87">'450'!$T$55</definedName>
    <definedName name="OSRRefT22_5x_0" localSheetId="70">'491'!$T$55:$T$56</definedName>
    <definedName name="OSRRefT22_5x_0" localSheetId="82">'492'!$T$55</definedName>
    <definedName name="OSRRefT22_5x_0" localSheetId="89">'501'!$T$49:$T$50</definedName>
    <definedName name="OSRRefT22_5x_0" localSheetId="39">'Div 2'!$T$49:$T$50</definedName>
    <definedName name="OSRRefT22_5x_0" localSheetId="47">'Div 3'!$T$88:$T$89</definedName>
    <definedName name="OSRRefT22_5x_0" localSheetId="68">'Div 4'!$T$57:$T$58</definedName>
    <definedName name="OSRRefT22_5x_0" localSheetId="88">'Div 5'!$T$49:$T$50</definedName>
    <definedName name="OSRRefT22_5x_0" localSheetId="61">'Div 6'!$T$63</definedName>
    <definedName name="OSRRefT22_5x_0" localSheetId="2">Summary!$T$94:$T$95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'204'!$T$53:$T$54</definedName>
    <definedName name="OSRRefT22_6x_0" localSheetId="45">'205'!$T$50:$T$52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'301'!$T$52:$T$53</definedName>
    <definedName name="OSRRefT22_6x_0" localSheetId="55">'307'!$T$63</definedName>
    <definedName name="OSRRefT22_6x_0" localSheetId="51">'308'!$T$65:$T$66</definedName>
    <definedName name="OSRRefT22_6x_0" localSheetId="64">'309'!$T$40</definedName>
    <definedName name="OSRRefT22_6x_0" localSheetId="63">'310'!$T$60</definedName>
    <definedName name="OSRRefT22_6x_0" localSheetId="69">'310 &amp; 491'!$T$60</definedName>
    <definedName name="OSRRefT22_6x_0" localSheetId="52">'311'!$T$65:$T$66</definedName>
    <definedName name="OSRRefT22_6x_0" localSheetId="57">'315'!$T$73</definedName>
    <definedName name="OSRRefT22_6x_0" localSheetId="60">'316'!$T$57</definedName>
    <definedName name="OSRRefT22_6x_0" localSheetId="62">'317'!$T$65</definedName>
    <definedName name="OSRRefT22_6x_0" localSheetId="65">'321'!$T$54</definedName>
    <definedName name="OSRRefT22_6x_0" localSheetId="66">'325'!$T$55</definedName>
    <definedName name="OSRRefT22_6x_0" localSheetId="58">'326'!$T$57:$T$58</definedName>
    <definedName name="OSRRefT22_6x_0" localSheetId="56">'331'!$T$73</definedName>
    <definedName name="OSRRefT22_6x_0" localSheetId="59">'332'!$T$57</definedName>
    <definedName name="OSRRefT22_6x_0" localSheetId="54">'333'!$T$76</definedName>
    <definedName name="OSRRefT22_6x_0" localSheetId="71">'405'!$T$57</definedName>
    <definedName name="OSRRefT22_6x_0" localSheetId="73">'411'!$T$50</definedName>
    <definedName name="OSRRefT22_6x_0" localSheetId="77">'415'!$T$57</definedName>
    <definedName name="OSRRefT22_6x_0" localSheetId="78">'418'!$T$54</definedName>
    <definedName name="OSRRefT22_6x_0" localSheetId="83">'430'!$T$50:$T$51</definedName>
    <definedName name="OSRRefT22_6x_0" localSheetId="84">'433'!$T$57</definedName>
    <definedName name="OSRRefT22_6x_0" localSheetId="86">'444'!$T$57</definedName>
    <definedName name="OSRRefT22_6x_0" localSheetId="87">'450'!$T$57</definedName>
    <definedName name="OSRRefT22_6x_0" localSheetId="70">'491'!$T$58</definedName>
    <definedName name="OSRRefT22_6x_0" localSheetId="82">'492'!$T$57</definedName>
    <definedName name="OSRRefT22_6x_0" localSheetId="89">'501'!$T$52</definedName>
    <definedName name="OSRRefT22_6x_0" localSheetId="39">'Div 2'!$T$52</definedName>
    <definedName name="OSRRefT22_6x_0" localSheetId="47">'Div 3'!$T$91:$T$92</definedName>
    <definedName name="OSRRefT22_6x_0" localSheetId="68">'Div 4'!$T$60</definedName>
    <definedName name="OSRRefT22_6x_0" localSheetId="88">'Div 5'!$T$52</definedName>
    <definedName name="OSRRefT22_6x_0" localSheetId="61">'Div 6'!$T$65</definedName>
    <definedName name="OSRRefT22_6x_0" localSheetId="2">Summary!$T$97:$T$98</definedName>
    <definedName name="OSRRefT22_7x_0" localSheetId="41">'201'!$T$51</definedName>
    <definedName name="OSRRefT22_7x_0" localSheetId="42">'202'!$T$51:$T$53</definedName>
    <definedName name="OSRRefT22_7x_0" localSheetId="43">'203'!$T$52</definedName>
    <definedName name="OSRRefT22_7x_0" localSheetId="44">'204'!$T$56</definedName>
    <definedName name="OSRRefT22_7x_0" localSheetId="45">'205'!$T$54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'301'!$T$55</definedName>
    <definedName name="OSRRefT22_7x_0" localSheetId="55">'307'!$T$65</definedName>
    <definedName name="OSRRefT22_7x_0" localSheetId="51">'308'!$T$68</definedName>
    <definedName name="OSRRefT22_7x_0" localSheetId="64">'309'!$T$42</definedName>
    <definedName name="OSRRefT22_7x_0" localSheetId="63">'310'!$T$62</definedName>
    <definedName name="OSRRefT22_7x_0" localSheetId="69">'310 &amp; 491'!$T$62</definedName>
    <definedName name="OSRRefT22_7x_0" localSheetId="52">'311'!$T$68</definedName>
    <definedName name="OSRRefT22_7x_0" localSheetId="57">'315'!$T$75</definedName>
    <definedName name="OSRRefT22_7x_0" localSheetId="60">'316'!$T$59:$T$61</definedName>
    <definedName name="OSRRefT22_7x_0" localSheetId="62">'317'!$T$67</definedName>
    <definedName name="OSRRefT22_7x_0" localSheetId="65">'321'!$T$56:$T$57</definedName>
    <definedName name="OSRRefT22_7x_0" localSheetId="66">'325'!$T$57</definedName>
    <definedName name="OSRRefT22_7x_0" localSheetId="58">'326'!$T$60</definedName>
    <definedName name="OSRRefT22_7x_0" localSheetId="56">'331'!$T$75</definedName>
    <definedName name="OSRRefT22_7x_0" localSheetId="59">'332'!$T$59:$T$61</definedName>
    <definedName name="OSRRefT22_7x_0" localSheetId="54">'333'!$T$78</definedName>
    <definedName name="OSRRefT22_7x_0" localSheetId="71">'405'!$T$59</definedName>
    <definedName name="OSRRefT22_7x_0" localSheetId="73">'411'!$T$52</definedName>
    <definedName name="OSRRefT22_7x_0" localSheetId="77">'415'!$T$59</definedName>
    <definedName name="OSRRefT22_7x_0" localSheetId="78">'418'!$T$56:$T$57</definedName>
    <definedName name="OSRRefT22_7x_0" localSheetId="83">'430'!$T$53</definedName>
    <definedName name="OSRRefT22_7x_0" localSheetId="84">'433'!$T$59</definedName>
    <definedName name="OSRRefT22_7x_0" localSheetId="86">'444'!$T$59</definedName>
    <definedName name="OSRRefT22_7x_0" localSheetId="87">'450'!$T$59</definedName>
    <definedName name="OSRRefT22_7x_0" localSheetId="70">'491'!$T$60</definedName>
    <definedName name="OSRRefT22_7x_0" localSheetId="82">'492'!$T$59</definedName>
    <definedName name="OSRRefT22_7x_0" localSheetId="89">'501'!$T$54</definedName>
    <definedName name="OSRRefT22_7x_0" localSheetId="39">'Div 2'!$T$54</definedName>
    <definedName name="OSRRefT22_7x_0" localSheetId="47">'Div 3'!$T$94</definedName>
    <definedName name="OSRRefT22_7x_0" localSheetId="68">'Div 4'!$T$62</definedName>
    <definedName name="OSRRefT22_7x_0" localSheetId="88">'Div 5'!$T$54</definedName>
    <definedName name="OSRRefT22_7x_0" localSheetId="61">'Div 6'!$T$67</definedName>
    <definedName name="OSRRefT22_7x_0" localSheetId="2">Summary!$T$100</definedName>
    <definedName name="OSRRefT22_8x_0" localSheetId="41">'201'!$T$53</definedName>
    <definedName name="OSRRefT22_8x_0" localSheetId="42">'202'!$T$55</definedName>
    <definedName name="OSRRefT22_8x_0" localSheetId="43">'203'!$T$54:$T$56</definedName>
    <definedName name="OSRRefT22_8x_0" localSheetId="44">'204'!$T$58:$T$59</definedName>
    <definedName name="OSRRefT22_8x_0" localSheetId="48">'300'!$T$90</definedName>
    <definedName name="OSRRefT22_8x_0" localSheetId="49">'300 &amp; 317'!$T$96</definedName>
    <definedName name="OSRRefT22_8x_0" localSheetId="50">'301'!$T$57</definedName>
    <definedName name="OSRRefT22_8x_0" localSheetId="55">'307'!$T$67</definedName>
    <definedName name="OSRRefT22_8x_0" localSheetId="51">'308'!$T$70</definedName>
    <definedName name="OSRRefT22_8x_0" localSheetId="64">'309'!$T$44:$T$45</definedName>
    <definedName name="OSRRefT22_8x_0" localSheetId="63">'310'!$T$64</definedName>
    <definedName name="OSRRefT22_8x_0" localSheetId="69">'310 &amp; 491'!$T$64:$T$65</definedName>
    <definedName name="OSRRefT22_8x_0" localSheetId="52">'311'!$T$70</definedName>
    <definedName name="OSRRefT22_8x_0" localSheetId="57">'315'!$T$77:$T$78</definedName>
    <definedName name="OSRRefT22_8x_0" localSheetId="60">'316'!$T$63</definedName>
    <definedName name="OSRRefT22_8x_0" localSheetId="62">'317'!$T$69:$T$70</definedName>
    <definedName name="OSRRefT22_8x_0" localSheetId="65">'321'!$T$59</definedName>
    <definedName name="OSRRefT22_8x_0" localSheetId="66">'325'!$T$59</definedName>
    <definedName name="OSRRefT22_8x_0" localSheetId="58">'326'!$T$62</definedName>
    <definedName name="OSRRefT22_8x_0" localSheetId="56">'331'!$T$77:$T$78</definedName>
    <definedName name="OSRRefT22_8x_0" localSheetId="59">'332'!$T$63</definedName>
    <definedName name="OSRRefT22_8x_0" localSheetId="54">'333'!$T$80:$T$81</definedName>
    <definedName name="OSRRefT22_8x_0" localSheetId="71">'405'!$T$61</definedName>
    <definedName name="OSRRefT22_8x_0" localSheetId="73">'411'!$T$54:$T$57</definedName>
    <definedName name="OSRRefT22_8x_0" localSheetId="77">'415'!$T$61</definedName>
    <definedName name="OSRRefT22_8x_0" localSheetId="78">'418'!$T$59:$T$60</definedName>
    <definedName name="OSRRefT22_8x_0" localSheetId="83">'430'!$T$55</definedName>
    <definedName name="OSRRefT22_8x_0" localSheetId="84">'433'!$T$61</definedName>
    <definedName name="OSRRefT22_8x_0" localSheetId="86">'444'!$T$61</definedName>
    <definedName name="OSRRefT22_8x_0" localSheetId="87">'450'!$T$61</definedName>
    <definedName name="OSRRefT22_8x_0" localSheetId="70">'491'!$T$62:$T$63</definedName>
    <definedName name="OSRRefT22_8x_0" localSheetId="82">'492'!$T$61</definedName>
    <definedName name="OSRRefT22_8x_0" localSheetId="89">'501'!$T$56</definedName>
    <definedName name="OSRRefT22_8x_0" localSheetId="39">'Div 2'!$T$56</definedName>
    <definedName name="OSRRefT22_8x_0" localSheetId="47">'Div 3'!$T$96</definedName>
    <definedName name="OSRRefT22_8x_0" localSheetId="68">'Div 4'!$T$64</definedName>
    <definedName name="OSRRefT22_8x_0" localSheetId="88">'Div 5'!$T$56</definedName>
    <definedName name="OSRRefT22_8x_0" localSheetId="61">'Div 6'!$T$69:$T$70</definedName>
    <definedName name="OSRRefT22_8x_0" localSheetId="2">Summary!$T$102</definedName>
    <definedName name="OSRRefT22_9x_0" localSheetId="41">'201'!$T$55:$T$57</definedName>
    <definedName name="OSRRefT22_9x_0" localSheetId="42">'202'!$T$57</definedName>
    <definedName name="OSRRefT22_9x_0" localSheetId="43">'203'!$T$58:$T$59</definedName>
    <definedName name="OSRRefT22_9x_0" localSheetId="44">'204'!$T$61</definedName>
    <definedName name="OSRRefT22_9x_0" localSheetId="48">'300'!$T$92</definedName>
    <definedName name="OSRRefT22_9x_0" localSheetId="49">'300 &amp; 317'!$T$98</definedName>
    <definedName name="OSRRefT22_9x_0" localSheetId="50">'301'!$T$59</definedName>
    <definedName name="OSRRefT22_9x_0" localSheetId="55">'307'!$T$69:$T$70</definedName>
    <definedName name="OSRRefT22_9x_0" localSheetId="51">'308'!$T$72:$T$74</definedName>
    <definedName name="OSRRefT22_9x_0" localSheetId="64">'309'!$T$47:$T$48</definedName>
    <definedName name="OSRRefT22_9x_0" localSheetId="63">'310'!$T$66</definedName>
    <definedName name="OSRRefT22_9x_0" localSheetId="69">'310 &amp; 491'!$T$67</definedName>
    <definedName name="OSRRefT22_9x_0" localSheetId="52">'311'!$T$72:$T$74</definedName>
    <definedName name="OSRRefT22_9x_0" localSheetId="57">'315'!$T$80</definedName>
    <definedName name="OSRRefT22_9x_0" localSheetId="60">'316'!$T$65:$T$68</definedName>
    <definedName name="OSRRefT22_9x_0" localSheetId="62">'317'!$T$72</definedName>
    <definedName name="OSRRefT22_9x_0" localSheetId="65">'321'!$T$61:$T$62</definedName>
    <definedName name="OSRRefT22_9x_0" localSheetId="66">'325'!$T$61</definedName>
    <definedName name="OSRRefT22_9x_0" localSheetId="58">'326'!$T$64</definedName>
    <definedName name="OSRRefT22_9x_0" localSheetId="56">'331'!$T$80:$T$81</definedName>
    <definedName name="OSRRefT22_9x_0" localSheetId="59">'332'!$T$65:$T$68</definedName>
    <definedName name="OSRRefT22_9x_0" localSheetId="54">'333'!$T$83:$T$84</definedName>
    <definedName name="OSRRefT22_9x_0" localSheetId="71">'405'!$T$63:$T$64</definedName>
    <definedName name="OSRRefT22_9x_0" localSheetId="73">'411'!$T$59:$T$61</definedName>
    <definedName name="OSRRefT22_9x_0" localSheetId="77">'415'!$T$63</definedName>
    <definedName name="OSRRefT22_9x_0" localSheetId="78">'418'!$T$62:$T$65</definedName>
    <definedName name="OSRRefT22_9x_0" localSheetId="84">'433'!$T$63</definedName>
    <definedName name="OSRRefT22_9x_0" localSheetId="86">'444'!$T$63</definedName>
    <definedName name="OSRRefT22_9x_0" localSheetId="87">'450'!$T$63</definedName>
    <definedName name="OSRRefT22_9x_0" localSheetId="70">'491'!$T$65</definedName>
    <definedName name="OSRRefT22_9x_0" localSheetId="82">'492'!$T$63</definedName>
    <definedName name="OSRRefT22_9x_0" localSheetId="89">'501'!$T$58:$T$60</definedName>
    <definedName name="OSRRefT22_9x_0" localSheetId="39">'Div 2'!$T$58</definedName>
    <definedName name="OSRRefT22_9x_0" localSheetId="47">'Div 3'!$T$98</definedName>
    <definedName name="OSRRefT22_9x_0" localSheetId="68">'Div 4'!$T$66:$T$67</definedName>
    <definedName name="OSRRefT22_9x_0" localSheetId="88">'Div 5'!$T$58:$T$60</definedName>
    <definedName name="OSRRefT22_9x_0" localSheetId="61">'Div 6'!$T$72</definedName>
    <definedName name="OSRRefT22_9x_0" localSheetId="2">Summary!$T$104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'201'!$T$20:$T$28,'201'!$T$30:$T$39,'201'!$T$41,'201'!$T$43,'201'!$T$45,'201'!$T$47,'201'!$T$49,'201'!$T$51,'201'!$T$53,'201'!$T$55:$T$57,'201'!$T$59:$T$60,'201'!$T$62,'201'!$T$64:$T$65,'201'!$T$67,'201'!$T$69,'201'!$T$71</definedName>
    <definedName name="OSRRefT22x_0" localSheetId="42">'202'!$T$20:$T$28,'202'!$T$30:$T$39,'202'!$T$41,'202'!$T$43,'202'!$T$45,'202'!$T$47,'202'!$T$49,'202'!$T$51:$T$53,'202'!$T$55,'202'!$T$57,'202'!$T$59,'202'!$T$61,'202'!$T$63</definedName>
    <definedName name="OSRRefT22x_0" localSheetId="43">'203'!$T$20:$T$29,'203'!$T$31:$T$40,'203'!$T$42,'203'!$T$44,'203'!$T$46,'203'!$T$48,'203'!$T$50,'203'!$T$52,'203'!$T$54:$T$56,'203'!$T$58:$T$59,'203'!$T$61:$T$62,'203'!$T$64:$T$67,'203'!$T$69,'203'!$T$71,'203'!$T$73</definedName>
    <definedName name="OSRRefT22x_0" localSheetId="44">'204'!$T$20:$T$28,'204'!$T$30:$T$39,'204'!$T$41,'204'!$T$43:$T$44,'204'!$T$46,'204'!$T$48:$T$51,'204'!$T$53:$T$54,'204'!$T$56,'204'!$T$58:$T$59,'204'!$T$61,'204'!$T$63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$93,'301'!$T$95</definedName>
    <definedName name="OSRRefT22x_0" localSheetId="55">'307'!$T$34:$T$41,'307'!$T$43:$T$52,'307'!$T$54,'307'!$T$56,'307'!$T$58,'307'!$T$60:$T$61,'307'!$T$63,'307'!$T$65,'307'!$T$67,'307'!$T$69:$T$70,'307'!$T$72:$T$73,'307'!$T$75,'307'!$T$77:$T$80,'307'!$T$82</definedName>
    <definedName name="OSRRefT22x_0" localSheetId="51">'308'!$T$35:$T$44,'308'!$T$46:$T$55,'308'!$T$57,'308'!$T$59,'308'!$T$61,'308'!$T$63,'308'!$T$65:$T$66,'308'!$T$68,'308'!$T$70,'308'!$T$72:$T$74,'308'!$T$76:$T$77,'308'!$T$79:$T$80,'308'!$T$82:$T$83,'308'!$T$85</definedName>
    <definedName name="OSRRefT22x_0" localSheetId="64">'309'!$T$26:$T$27,'309'!$T$29:$T$30,'309'!$T$32,'309'!$T$34,'309'!$T$36,'309'!$T$38,'309'!$T$40,'309'!$T$42,'309'!$T$44:$T$45,'309'!$T$47:$T$48,'309'!$T$50:$T$51,'309'!$T$53,'309'!$T$55</definedName>
    <definedName name="OSRRefT22x_0" localSheetId="63">'310'!$T$29:$T$38,'310'!$T$40:$T$49,'310'!$T$51,'310'!$T$53,'310'!$T$55,'310'!$T$57:$T$58,'310'!$T$60,'310'!$T$62,'310'!$T$64,'310'!$T$66,'310'!$T$68,'310'!$T$70:$T$72,'310'!$T$74,'310'!$T$76:$T$78,'310'!$T$80:$T$84,'310'!$T$86:$T$87,'310'!$T$89,'310'!$T$91</definedName>
    <definedName name="OSRRefT22x_0" localSheetId="69">'310 &amp; 491'!$T$29:$T$38,'310 &amp; 491'!$T$40:$T$49,'310 &amp; 491'!$T$51,'310 &amp; 491'!$T$53,'310 &amp; 491'!$T$55,'310 &amp; 491'!$T$57:$T$58,'310 &amp; 491'!$T$60,'310 &amp; 491'!$T$62,'310 &amp; 491'!$T$64:$T$65,'310 &amp; 491'!$T$67,'310 &amp; 491'!$T$69,'310 &amp; 491'!$T$71,'310 &amp; 491'!$T$73:$T$76,'310 &amp; 491'!$T$78:$T$79,'310 &amp; 491'!$T$81:$T$85,'310 &amp; 491'!$T$87,'310 &amp; 491'!$T$89:$T$98,'310 &amp; 491'!$T$100:$T$101,'310 &amp; 491'!$T$103,'310 &amp; 491'!$T$105:$T$106,'310 &amp; 491'!$T$108</definedName>
    <definedName name="OSRRefT22x_0" localSheetId="52">'311'!$T$35:$T$44,'311'!$T$46:$T$55,'311'!$T$57,'311'!$T$59,'311'!$T$61,'311'!$T$63,'311'!$T$65:$T$66,'311'!$T$68,'311'!$T$70,'311'!$T$72:$T$74,'311'!$T$76:$T$77,'311'!$T$79:$T$80,'311'!$T$82:$T$83,'311'!$T$85</definedName>
    <definedName name="OSRRefT22x_0" localSheetId="57">'315'!$T$44:$T$52,'315'!$T$54:$T$63,'315'!$T$65,'315'!$T$67,'315'!$T$69,'315'!$T$71,'315'!$T$73,'315'!$T$75,'315'!$T$77:$T$78,'315'!$T$80,'315'!$T$82,'315'!$T$84,'315'!$T$86:$T$87,'315'!$T$89:$T$91,'315'!$T$93:$T$94,'315'!$T$96:$T$99,'315'!$T$101,'315'!$T$103,'315'!$T$105</definedName>
    <definedName name="OSRRefT22x_0" localSheetId="60">'316'!$T$27:$T$35,'316'!$T$37:$T$46,'316'!$T$48,'316'!$T$50,'316'!$T$52,'316'!$T$54:$T$55,'316'!$T$57,'316'!$T$59:$T$61,'316'!$T$63,'316'!$T$65:$T$68,'316'!$T$70</definedName>
    <definedName name="OSRRefT22x_0" localSheetId="62">'317'!$T$35:$T$44,'317'!$T$46:$T$55,'317'!$T$57,'317'!$T$59,'317'!$T$61,'317'!$T$63,'317'!$T$65,'317'!$T$67,'317'!$T$69:$T$70,'317'!$T$72</definedName>
    <definedName name="OSRRefT22x_0" localSheetId="65">'321'!$T$24:$T$33,'321'!$T$35:$T$44,'321'!$T$46,'321'!$T$48,'321'!$T$50,'321'!$T$52,'321'!$T$54,'321'!$T$56:$T$57,'321'!$T$59,'321'!$T$61:$T$62,'321'!$T$64:$T$67,'321'!$T$69,'321'!$T$71</definedName>
    <definedName name="OSRRefT22x_0" localSheetId="66">'325'!$T$25:$T$33,'325'!$T$35:$T$44,'325'!$T$46,'325'!$T$48,'325'!$T$50,'325'!$T$52:$T$53,'325'!$T$55,'325'!$T$57,'325'!$T$59,'325'!$T$61,'325'!$T$63,'325'!$T$65:$T$67,'325'!$T$69:$T$71,'325'!$T$73:$T$77,'325'!$T$79:$T$80,'325'!$T$82,'325'!$T$84</definedName>
    <definedName name="OSRRefT22x_0" localSheetId="58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67">'327'!$T$26,'327'!$T$28</definedName>
    <definedName name="OSRRefT22x_0" localSheetId="56">'331'!$T$44:$T$52,'331'!$T$54:$T$63,'331'!$T$65,'331'!$T$67,'331'!$T$69,'331'!$T$71,'331'!$T$73,'331'!$T$75,'331'!$T$77:$T$78,'331'!$T$80:$T$81,'331'!$T$83,'331'!$T$85,'331'!$T$87,'331'!$T$89,'331'!$T$91:$T$92,'331'!$T$94:$T$96,'331'!$T$98:$T$99,'331'!$T$101:$T$102,'331'!$T$104:$T$108,'331'!$T$110,'331'!$T$112,'331'!$T$114:$T$115,'331'!$T$117</definedName>
    <definedName name="OSRRefT22x_0" localSheetId="59">'332'!$T$27:$T$35,'332'!$T$37:$T$46,'332'!$T$48,'332'!$T$50,'332'!$T$52,'332'!$T$54:$T$55,'332'!$T$57,'332'!$T$59:$T$61,'332'!$T$63,'332'!$T$65:$T$68,'332'!$T$70</definedName>
    <definedName name="OSRRefT22x_0" localSheetId="54">'333'!$T$46:$T$54,'333'!$T$56:$T$65,'333'!$T$67,'333'!$T$69,'333'!$T$71,'333'!$T$73:$T$74,'333'!$T$76,'333'!$T$78,'333'!$T$80:$T$81,'333'!$T$83:$T$84,'333'!$T$86,'333'!$T$88,'333'!$T$90,'333'!$T$92,'333'!$T$94:$T$95,'333'!$T$97:$T$99,'333'!$T$101:$T$103,'333'!$T$105:$T$106,'333'!$T$108:$T$113,'333'!$T$115,'333'!$T$117,'333'!$T$119:$T$120,'333'!$T$122</definedName>
    <definedName name="OSRRefT22x_0" localSheetId="71">'405'!$T$27:$T$35,'405'!$T$37:$T$46,'405'!$T$48,'405'!$T$50,'405'!$T$52,'405'!$T$54:$T$55,'405'!$T$57,'405'!$T$59,'405'!$T$61,'405'!$T$63:$T$64,'405'!$T$66:$T$69,'405'!$T$71,'405'!$T$73:$T$80,'405'!$T$82,'405'!$T$84,'405'!$T$86,'405'!$T$88</definedName>
    <definedName name="OSRRefT22x_0" localSheetId="72">'406'!$T$20,'406'!$T$22</definedName>
    <definedName name="OSRRefT22x_0" localSheetId="73">'411'!$T$20:$T$28,'411'!$T$30:$T$39,'411'!$T$41,'411'!$T$43:$T$44,'411'!$T$46,'411'!$T$48,'411'!$T$50,'411'!$T$52,'411'!$T$54:$T$57,'411'!$T$59:$T$61,'411'!$T$63:$T$64,'411'!$T$66,'411'!$T$68,'411'!$T$70:$T$71,'411'!$T$73</definedName>
    <definedName name="OSRRefT22x_0" localSheetId="74">'412'!$T$20,'412'!$T$22,'412'!$T$24,'412'!$T$26</definedName>
    <definedName name="OSRRefT22x_0" localSheetId="75">'413'!$T$20,'413'!$T$22,'413'!$T$24</definedName>
    <definedName name="OSRRefT22x_0" localSheetId="76">'414'!$T$20,'414'!$T$22,'414'!$T$24</definedName>
    <definedName name="OSRRefT22x_0" localSheetId="77">'415'!$T$27:$T$35,'415'!$T$37:$T$46,'415'!$T$48,'415'!$T$50,'415'!$T$52,'415'!$T$54:$T$55,'415'!$T$57,'415'!$T$59,'415'!$T$61,'415'!$T$63,'415'!$T$65,'415'!$T$67:$T$68,'415'!$T$70:$T$73,'415'!$T$75,'415'!$T$77:$T$83,'415'!$T$85:$T$86,'415'!$T$88,'415'!$T$90</definedName>
    <definedName name="OSRRefT22x_0" localSheetId="78">'418'!$T$24:$T$32,'418'!$T$34:$T$43,'418'!$T$45,'418'!$T$47,'418'!$T$49:$T$50,'418'!$T$52,'418'!$T$54,'418'!$T$56:$T$57,'418'!$T$59:$T$60,'418'!$T$62:$T$65,'418'!$T$67,'418'!$T$69:$T$76,'418'!$T$78:$T$79,'418'!$T$81,'418'!$T$83</definedName>
    <definedName name="OSRRefT22x_0" localSheetId="79">'423'!$T$20:$T$27,'423'!$T$29:$T$38,'423'!$T$40,'423'!$T$42,'423'!$T$44,'423'!$T$46</definedName>
    <definedName name="OSRRefT22x_0" localSheetId="80">'424'!$T$20,'424'!$T$22,'424'!$T$24</definedName>
    <definedName name="OSRRefT22x_0" localSheetId="81">'425'!$T$22,'425'!$T$24,'425'!$T$26,'425'!$T$28,'425'!$T$30,'425'!$T$32</definedName>
    <definedName name="OSRRefT22x_0" localSheetId="83">'430'!$T$20:$T$28,'430'!$T$30:$T$39,'430'!$T$41,'430'!$T$43,'430'!$T$45,'430'!$T$47:$T$48,'430'!$T$50:$T$51,'430'!$T$53,'430'!$T$55</definedName>
    <definedName name="OSRRefT22x_0" localSheetId="84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85">'435'!$T$20</definedName>
    <definedName name="OSRRefT22x_0" localSheetId="86">'444'!$T$27:$T$36,'444'!$T$38:$T$47,'444'!$T$49,'444'!$T$51,'444'!$T$53,'444'!$T$55,'444'!$T$57,'444'!$T$59,'444'!$T$61,'444'!$T$63,'444'!$T$65,'444'!$T$67:$T$68,'444'!$T$70:$T$73,'444'!$T$75,'444'!$T$77:$T$85,'444'!$T$87,'444'!$T$89</definedName>
    <definedName name="OSRRefT22x_0" localSheetId="87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0">'491'!$T$28:$T$36,'491'!$T$38:$T$47,'491'!$T$49,'491'!$T$51,'491'!$T$53,'491'!$T$55:$T$56,'491'!$T$58,'491'!$T$60,'491'!$T$62:$T$63,'491'!$T$65,'491'!$T$67,'491'!$T$69,'491'!$T$71:$T$74,'491'!$T$76,'491'!$T$78:$T$82,'491'!$T$84,'491'!$T$86:$T$95,'491'!$T$97:$T$98,'491'!$T$100,'491'!$T$102:$T$103,'491'!$T$105</definedName>
    <definedName name="OSRRefT22x_0" localSheetId="82">'492'!$T$27:$T$36,'492'!$T$38:$T$47,'492'!$T$49,'492'!$T$51,'492'!$T$53,'492'!$T$55,'492'!$T$57,'492'!$T$59,'492'!$T$61,'492'!$T$63,'492'!$T$65,'492'!$T$67,'492'!$T$69:$T$71,'492'!$T$73:$T$76,'492'!$T$78,'492'!$T$80:$T$88,'492'!$T$90:$T$91,'492'!$T$93,'492'!$T$95:$T$96</definedName>
    <definedName name="OSRRefT22x_0" localSheetId="89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2'!$T$77:$T$78,'Div 2'!$T$80:$T$85,'Div 2'!$T$87:$T$88,'Div 2'!$T$90,'Div 2'!$T$92:$T$93</definedName>
    <definedName name="OSRRefT22x_0" localSheetId="47">'Div 3'!$T$60:$T$69,'Div 3'!$T$71:$T$80,'Div 3'!$T$82,'Div 3'!$T$84,'Div 3'!$T$86,'Div 3'!$T$88:$T$89,'Div 3'!$T$91:$T$92,'Div 3'!$T$94,'Div 3'!$T$96,'Div 3'!$T$98,'Div 3'!$T$100:$T$101,'Div 3'!$T$103:$T$104,'Div 3'!$T$106,'Div 3'!$T$108,'Div 3'!$T$110,'Div 3'!$T$112,'Div 3'!$T$114,'Div 3'!$T$116:$T$119,'Div 3'!$T$121:$T$124,'Div 3'!$T$126:$T$129,'Div 3'!$T$131:$T$132,'Div 3'!$T$134:$T$140,'Div 3'!$T$142:$T$143,'Div 3'!$T$145,'Div 3'!$T$147:$T$149,'Div 3'!$T$151</definedName>
    <definedName name="OSRRefT22x_0" localSheetId="68">'Div 4'!$T$29:$T$38,'Div 4'!$T$40:$T$49,'Div 4'!$T$51,'Div 4'!$T$53,'Div 4'!$T$55,'Div 4'!$T$57:$T$58,'Div 4'!$T$60,'Div 4'!$T$62,'Div 4'!$T$64,'Div 4'!$T$66:$T$67,'Div 4'!$T$69,'Div 4'!$T$71,'Div 4'!$T$73,'Div 4'!$T$75,'Div 4'!$T$77:$T$80,'Div 4'!$T$82,'Div 4'!$T$84:$T$88,'Div 4'!$T$90:$T$91,'Div 4'!$T$93:$T$102,'Div 4'!$T$104:$T$105,'Div 4'!$T$107,'Div 4'!$T$109:$T$110,'Div 4'!$T$112</definedName>
    <definedName name="OSRRefT22x_0" localSheetId="88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1">'Div 6'!$T$35:$T$44,'Div 6'!$T$46:$T$55,'Div 6'!$T$57,'Div 6'!$T$59,'Div 6'!$T$61,'Div 6'!$T$63,'Div 6'!$T$65,'Div 6'!$T$67,'Div 6'!$T$69:$T$70,'Div 6'!$T$72</definedName>
    <definedName name="OSRRefT22x_0" localSheetId="2">Summary!$T$66:$T$75,Summary!$T$77:$T$86,Summary!$T$88,Summary!$T$90,Summary!$T$92,Summary!$T$94:$T$95,Summary!$T$97:$T$98,Summary!$T$100,Summary!$T$102,Summary!$T$104,Summary!$T$106:$T$107,Summary!$T$109:$T$111,Summary!$T$113,Summary!$T$115,Summary!$T$117,Summary!$T$119,Summary!$T$121,Summary!$T$123,Summary!$T$125:$T$128,Summary!$T$130:$T$133,Summary!$T$135:$T$139,Summary!$T$141:$T$142,Summary!$T$144:$T$153,Summary!$T$155:$T$156,Summary!$T$158,Summary!$T$160:$T$162,Summary!$T$164</definedName>
    <definedName name="OSRRefT25x_0" localSheetId="48">'300'!$T$145:$T$149</definedName>
    <definedName name="OSRRefT25x_0" localSheetId="49">'300 &amp; 317'!$T$151:$T$157</definedName>
    <definedName name="OSRRefT25x_0" localSheetId="50">'301'!$T$98:$T$99</definedName>
    <definedName name="OSRRefT25x_0" localSheetId="51">'308'!$T$88:$T$91</definedName>
    <definedName name="OSRRefT25x_0" localSheetId="69">'310 &amp; 491'!$T$111:$T$114</definedName>
    <definedName name="OSRRefT25x_0" localSheetId="52">'311'!$T$88:$T$91</definedName>
    <definedName name="OSRRefT25x_0" localSheetId="57">'315'!$T$108:$T$110</definedName>
    <definedName name="OSRRefT25x_0" localSheetId="60">'316'!$T$73</definedName>
    <definedName name="OSRRefT25x_0" localSheetId="62">'317'!$T$75:$T$77</definedName>
    <definedName name="OSRRefT25x_0" localSheetId="56">'331'!$T$120:$T$122</definedName>
    <definedName name="OSRRefT25x_0" localSheetId="59">'332'!$T$73</definedName>
    <definedName name="OSRRefT25x_0" localSheetId="54">'333'!$T$125:$T$127</definedName>
    <definedName name="OSRRefT25x_0" localSheetId="71">'405'!$T$91</definedName>
    <definedName name="OSRRefT25x_0" localSheetId="73">'411'!$T$76</definedName>
    <definedName name="OSRRefT25x_0" localSheetId="77">'415'!$T$93</definedName>
    <definedName name="OSRRefT25x_0" localSheetId="78">'418'!$T$86</definedName>
    <definedName name="OSRRefT25x_0" localSheetId="79">'423'!$T$49:$T$51</definedName>
    <definedName name="OSRRefT25x_0" localSheetId="70">'491'!$T$108:$T$111</definedName>
    <definedName name="OSRRefT25x_0" localSheetId="89">'501'!$T$73</definedName>
    <definedName name="OSRRefT25x_0" localSheetId="47">'Div 3'!$T$154:$T$158</definedName>
    <definedName name="OSRRefT25x_0" localSheetId="68">'Div 4'!$T$115:$T$118</definedName>
    <definedName name="OSRRefT25x_0" localSheetId="88">'Div 5'!$T$73</definedName>
    <definedName name="OSRRefT25x_0" localSheetId="61">'Div 6'!$T$75:$T$77</definedName>
    <definedName name="OSRRefT25x_0" localSheetId="2">Summary!$T$167:$T$174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T34" i="95"/>
  <c r="Z34" i="95" s="1"/>
  <c r="P34" i="95"/>
  <c r="H34" i="95"/>
  <c r="N34" i="95" s="1"/>
  <c r="D34" i="95"/>
  <c r="T33" i="95"/>
  <c r="Z33" i="95" s="1"/>
  <c r="P33" i="95"/>
  <c r="H33" i="95"/>
  <c r="N33" i="95" s="1"/>
  <c r="D33" i="95"/>
  <c r="T29" i="95"/>
  <c r="Z29" i="95" s="1"/>
  <c r="P29" i="95"/>
  <c r="H29" i="95"/>
  <c r="N29" i="95" s="1"/>
  <c r="D29" i="95"/>
  <c r="T25" i="95"/>
  <c r="Z25" i="95" s="1"/>
  <c r="P25" i="95"/>
  <c r="X25" i="95" s="1"/>
  <c r="H25" i="95"/>
  <c r="N25" i="95" s="1"/>
  <c r="D25" i="95"/>
  <c r="B25" i="95"/>
  <c r="T24" i="95"/>
  <c r="Z24" i="95" s="1"/>
  <c r="P24" i="95"/>
  <c r="H24" i="95"/>
  <c r="N24" i="95" s="1"/>
  <c r="D24" i="95"/>
  <c r="T22" i="95"/>
  <c r="Z22" i="95" s="1"/>
  <c r="P22" i="95"/>
  <c r="H22" i="95"/>
  <c r="N22" i="95" s="1"/>
  <c r="D22" i="95"/>
  <c r="B22" i="95"/>
  <c r="T21" i="95"/>
  <c r="Z21" i="95" s="1"/>
  <c r="P21" i="95"/>
  <c r="H21" i="95"/>
  <c r="N21" i="95" s="1"/>
  <c r="D21" i="95"/>
  <c r="B21" i="95"/>
  <c r="T20" i="95"/>
  <c r="Z20" i="95" s="1"/>
  <c r="P20" i="95"/>
  <c r="H20" i="95"/>
  <c r="N20" i="95" s="1"/>
  <c r="D20" i="95"/>
  <c r="T16" i="95"/>
  <c r="Z16" i="95" s="1"/>
  <c r="P16" i="95"/>
  <c r="H16" i="95"/>
  <c r="N16" i="95" s="1"/>
  <c r="D16" i="95"/>
  <c r="B16" i="95"/>
  <c r="T15" i="95"/>
  <c r="Z15" i="95" s="1"/>
  <c r="P15" i="95"/>
  <c r="H15" i="95"/>
  <c r="N15" i="95" s="1"/>
  <c r="D15" i="95"/>
  <c r="T13" i="95"/>
  <c r="Z13" i="95" s="1"/>
  <c r="P13" i="95"/>
  <c r="H13" i="95"/>
  <c r="N13" i="95" s="1"/>
  <c r="D13" i="95"/>
  <c r="B13" i="95"/>
  <c r="T12" i="95"/>
  <c r="V34" i="95" s="1"/>
  <c r="P12" i="95"/>
  <c r="H12" i="95"/>
  <c r="D12" i="95"/>
  <c r="F34" i="95" s="1"/>
  <c r="D6" i="95"/>
  <c r="D5" i="95"/>
  <c r="D4" i="95"/>
  <c r="B39" i="94"/>
  <c r="B38" i="94"/>
  <c r="T34" i="94"/>
  <c r="Z34" i="94" s="1"/>
  <c r="P34" i="94"/>
  <c r="H34" i="94"/>
  <c r="N34" i="94" s="1"/>
  <c r="D34" i="94"/>
  <c r="T33" i="94"/>
  <c r="P33" i="94"/>
  <c r="H33" i="94"/>
  <c r="N33" i="94" s="1"/>
  <c r="D33" i="94"/>
  <c r="T29" i="94"/>
  <c r="P29" i="94"/>
  <c r="H29" i="94"/>
  <c r="N29" i="94" s="1"/>
  <c r="D29" i="94"/>
  <c r="T25" i="94"/>
  <c r="P25" i="94"/>
  <c r="H25" i="94"/>
  <c r="N25" i="94" s="1"/>
  <c r="D25" i="94"/>
  <c r="B25" i="94"/>
  <c r="T24" i="94"/>
  <c r="Z24" i="94" s="1"/>
  <c r="P24" i="94"/>
  <c r="H24" i="94"/>
  <c r="N24" i="94" s="1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20" i="94" s="1"/>
  <c r="P12" i="94"/>
  <c r="R18" i="94" s="1"/>
  <c r="H12" i="94"/>
  <c r="J20" i="94" s="1"/>
  <c r="D12" i="94"/>
  <c r="F20" i="94" s="1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P33" i="93"/>
  <c r="H33" i="93"/>
  <c r="D33" i="93"/>
  <c r="T29" i="93"/>
  <c r="Z29" i="93" s="1"/>
  <c r="P29" i="93"/>
  <c r="H29" i="93"/>
  <c r="D29" i="93"/>
  <c r="T25" i="93"/>
  <c r="Z25" i="93" s="1"/>
  <c r="P25" i="93"/>
  <c r="H25" i="93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N20" i="93" s="1"/>
  <c r="D20" i="93"/>
  <c r="T16" i="93"/>
  <c r="Z16" i="93" s="1"/>
  <c r="P16" i="93"/>
  <c r="H16" i="93"/>
  <c r="N16" i="93" s="1"/>
  <c r="D16" i="93"/>
  <c r="B16" i="93"/>
  <c r="T15" i="93"/>
  <c r="Z15" i="93" s="1"/>
  <c r="P15" i="93"/>
  <c r="H15" i="93"/>
  <c r="D15" i="93"/>
  <c r="T13" i="93"/>
  <c r="Z13" i="93" s="1"/>
  <c r="P13" i="93"/>
  <c r="H13" i="93"/>
  <c r="N13" i="93" s="1"/>
  <c r="D13" i="93"/>
  <c r="B13" i="93"/>
  <c r="T12" i="93"/>
  <c r="V36" i="93" s="1"/>
  <c r="P12" i="93"/>
  <c r="R21" i="93" s="1"/>
  <c r="H12" i="93"/>
  <c r="D12" i="93"/>
  <c r="F36" i="93" s="1"/>
  <c r="D6" i="93"/>
  <c r="D5" i="93"/>
  <c r="D4" i="93"/>
  <c r="X77" i="92"/>
  <c r="Z77" i="92" s="1"/>
  <c r="N77" i="92"/>
  <c r="L77" i="92"/>
  <c r="Z73" i="92"/>
  <c r="X73" i="92"/>
  <c r="P73" i="92"/>
  <c r="N73" i="92"/>
  <c r="F73" i="92"/>
  <c r="D73" i="92"/>
  <c r="L73" i="92" s="1"/>
  <c r="B73" i="92"/>
  <c r="T72" i="92"/>
  <c r="P72" i="92"/>
  <c r="X72" i="92" s="1"/>
  <c r="Z72" i="92" s="1"/>
  <c r="H72" i="92"/>
  <c r="Z70" i="92"/>
  <c r="X70" i="92"/>
  <c r="N70" i="92"/>
  <c r="L70" i="92"/>
  <c r="B70" i="92"/>
  <c r="Z69" i="92"/>
  <c r="T69" i="92"/>
  <c r="P69" i="92"/>
  <c r="X69" i="92" s="1"/>
  <c r="H69" i="92"/>
  <c r="N69" i="92" s="1"/>
  <c r="D69" i="92"/>
  <c r="L69" i="92" s="1"/>
  <c r="B69" i="92"/>
  <c r="Z68" i="92"/>
  <c r="X68" i="92"/>
  <c r="L68" i="92"/>
  <c r="N68" i="92" s="1"/>
  <c r="B68" i="92"/>
  <c r="V67" i="92"/>
  <c r="T67" i="92"/>
  <c r="Z67" i="92" s="1"/>
  <c r="P67" i="92"/>
  <c r="X67" i="92" s="1"/>
  <c r="L67" i="92"/>
  <c r="H67" i="92"/>
  <c r="N67" i="92" s="1"/>
  <c r="D67" i="92"/>
  <c r="B67" i="92"/>
  <c r="Z66" i="92"/>
  <c r="X66" i="92"/>
  <c r="N66" i="92"/>
  <c r="L66" i="92"/>
  <c r="B66" i="92"/>
  <c r="Z65" i="92"/>
  <c r="X65" i="92"/>
  <c r="N65" i="92"/>
  <c r="L65" i="92"/>
  <c r="B65" i="92"/>
  <c r="Z64" i="92"/>
  <c r="X64" i="92"/>
  <c r="L64" i="92"/>
  <c r="N64" i="92" s="1"/>
  <c r="B64" i="92"/>
  <c r="V63" i="92"/>
  <c r="T63" i="92"/>
  <c r="Z63" i="92" s="1"/>
  <c r="P63" i="92"/>
  <c r="X63" i="92" s="1"/>
  <c r="L63" i="92"/>
  <c r="N63" i="92" s="1"/>
  <c r="H63" i="92"/>
  <c r="D63" i="92"/>
  <c r="B63" i="92"/>
  <c r="Z62" i="92"/>
  <c r="X62" i="92"/>
  <c r="L62" i="92"/>
  <c r="N62" i="92" s="1"/>
  <c r="B62" i="92"/>
  <c r="X61" i="92"/>
  <c r="Z61" i="92" s="1"/>
  <c r="T61" i="92"/>
  <c r="P61" i="92"/>
  <c r="L61" i="92"/>
  <c r="H61" i="92"/>
  <c r="D61" i="92"/>
  <c r="B61" i="92"/>
  <c r="Z60" i="92"/>
  <c r="X60" i="92"/>
  <c r="N60" i="92"/>
  <c r="L60" i="92"/>
  <c r="B60" i="92"/>
  <c r="X59" i="92"/>
  <c r="Z59" i="92" s="1"/>
  <c r="L59" i="92"/>
  <c r="N59" i="92" s="1"/>
  <c r="B59" i="92"/>
  <c r="Z58" i="92"/>
  <c r="X58" i="92"/>
  <c r="N58" i="92"/>
  <c r="L58" i="92"/>
  <c r="F58" i="92"/>
  <c r="B58" i="92"/>
  <c r="X57" i="92"/>
  <c r="T57" i="92"/>
  <c r="P57" i="92"/>
  <c r="H57" i="92"/>
  <c r="D57" i="92"/>
  <c r="B57" i="92"/>
  <c r="X56" i="92"/>
  <c r="Z56" i="92" s="1"/>
  <c r="N56" i="92"/>
  <c r="L56" i="92"/>
  <c r="B56" i="92"/>
  <c r="X55" i="92"/>
  <c r="Z55" i="92" s="1"/>
  <c r="T55" i="92"/>
  <c r="P55" i="92"/>
  <c r="H55" i="92"/>
  <c r="D55" i="92"/>
  <c r="L55" i="92" s="1"/>
  <c r="B55" i="92"/>
  <c r="X54" i="92"/>
  <c r="Z54" i="92" s="1"/>
  <c r="N54" i="92"/>
  <c r="L54" i="92"/>
  <c r="J54" i="92"/>
  <c r="B54" i="92"/>
  <c r="T53" i="92"/>
  <c r="P53" i="92"/>
  <c r="X53" i="92" s="1"/>
  <c r="Z53" i="92" s="1"/>
  <c r="J53" i="92"/>
  <c r="H53" i="92"/>
  <c r="D53" i="92"/>
  <c r="L53" i="92" s="1"/>
  <c r="B53" i="92"/>
  <c r="Z52" i="92"/>
  <c r="X52" i="92"/>
  <c r="R52" i="92"/>
  <c r="L52" i="92"/>
  <c r="N52" i="92" s="1"/>
  <c r="B52" i="92"/>
  <c r="T51" i="92"/>
  <c r="P51" i="92"/>
  <c r="X51" i="92" s="1"/>
  <c r="H51" i="92"/>
  <c r="D51" i="92"/>
  <c r="L51" i="92" s="1"/>
  <c r="B51" i="92"/>
  <c r="X50" i="92"/>
  <c r="Z50" i="92" s="1"/>
  <c r="L50" i="92"/>
  <c r="N50" i="92" s="1"/>
  <c r="B50" i="92"/>
  <c r="Z49" i="92"/>
  <c r="X49" i="92"/>
  <c r="N49" i="92"/>
  <c r="L49" i="92"/>
  <c r="B49" i="92"/>
  <c r="Z48" i="92"/>
  <c r="V48" i="92"/>
  <c r="T48" i="92"/>
  <c r="P48" i="92"/>
  <c r="X48" i="92" s="1"/>
  <c r="J48" i="92"/>
  <c r="H48" i="92"/>
  <c r="D48" i="92"/>
  <c r="L48" i="92" s="1"/>
  <c r="N48" i="92" s="1"/>
  <c r="B48" i="92"/>
  <c r="X47" i="92"/>
  <c r="Z47" i="92" s="1"/>
  <c r="R47" i="92"/>
  <c r="L47" i="92"/>
  <c r="N47" i="92" s="1"/>
  <c r="J47" i="92"/>
  <c r="B47" i="92"/>
  <c r="T46" i="92"/>
  <c r="P46" i="92"/>
  <c r="X46" i="92" s="1"/>
  <c r="H46" i="92"/>
  <c r="D46" i="92"/>
  <c r="L46" i="92" s="1"/>
  <c r="B46" i="92"/>
  <c r="Z45" i="92"/>
  <c r="X45" i="92"/>
  <c r="N45" i="92"/>
  <c r="L45" i="92"/>
  <c r="J45" i="92"/>
  <c r="B45" i="92"/>
  <c r="T44" i="92"/>
  <c r="Z44" i="92" s="1"/>
  <c r="P44" i="92"/>
  <c r="X44" i="92" s="1"/>
  <c r="L44" i="92"/>
  <c r="N44" i="92" s="1"/>
  <c r="H44" i="92"/>
  <c r="D44" i="92"/>
  <c r="B44" i="92"/>
  <c r="Z43" i="92"/>
  <c r="X43" i="92"/>
  <c r="V43" i="92"/>
  <c r="L43" i="92"/>
  <c r="N43" i="92" s="1"/>
  <c r="B43" i="92"/>
  <c r="X42" i="92"/>
  <c r="Z42" i="92" s="1"/>
  <c r="T42" i="92"/>
  <c r="P42" i="92"/>
  <c r="L42" i="92"/>
  <c r="H42" i="92"/>
  <c r="D42" i="92"/>
  <c r="B42" i="92"/>
  <c r="Z41" i="92"/>
  <c r="X41" i="92"/>
  <c r="V41" i="92"/>
  <c r="N41" i="92"/>
  <c r="L41" i="92"/>
  <c r="B41" i="92"/>
  <c r="Z40" i="92"/>
  <c r="X40" i="92"/>
  <c r="R40" i="92"/>
  <c r="N40" i="92"/>
  <c r="L40" i="92"/>
  <c r="B40" i="92"/>
  <c r="Z39" i="92"/>
  <c r="X39" i="92"/>
  <c r="V39" i="92"/>
  <c r="L39" i="92"/>
  <c r="N39" i="92" s="1"/>
  <c r="B39" i="92"/>
  <c r="X38" i="92"/>
  <c r="Z38" i="92" s="1"/>
  <c r="N38" i="92"/>
  <c r="L38" i="92"/>
  <c r="F38" i="92"/>
  <c r="B38" i="92"/>
  <c r="Z37" i="92"/>
  <c r="X37" i="92"/>
  <c r="N37" i="92"/>
  <c r="L37" i="92"/>
  <c r="J37" i="92"/>
  <c r="B37" i="92"/>
  <c r="Z36" i="92"/>
  <c r="X36" i="92"/>
  <c r="N36" i="92"/>
  <c r="L36" i="92"/>
  <c r="B36" i="92"/>
  <c r="X35" i="92"/>
  <c r="Z35" i="92" s="1"/>
  <c r="N35" i="92"/>
  <c r="L35" i="92"/>
  <c r="J35" i="92"/>
  <c r="B35" i="92"/>
  <c r="Z34" i="92"/>
  <c r="X34" i="92"/>
  <c r="R34" i="92"/>
  <c r="N34" i="92"/>
  <c r="L34" i="92"/>
  <c r="B34" i="92"/>
  <c r="Z33" i="92"/>
  <c r="X33" i="92"/>
  <c r="V33" i="92"/>
  <c r="N33" i="92"/>
  <c r="L33" i="92"/>
  <c r="B33" i="92"/>
  <c r="X32" i="92"/>
  <c r="Z32" i="92" s="1"/>
  <c r="R32" i="92"/>
  <c r="L32" i="92"/>
  <c r="N32" i="92" s="1"/>
  <c r="B32" i="92"/>
  <c r="Z31" i="92"/>
  <c r="X31" i="92"/>
  <c r="V31" i="92"/>
  <c r="T31" i="92"/>
  <c r="P31" i="92"/>
  <c r="J31" i="92"/>
  <c r="H31" i="92"/>
  <c r="F31" i="92"/>
  <c r="D31" i="92"/>
  <c r="B31" i="92"/>
  <c r="Z30" i="92"/>
  <c r="X30" i="92"/>
  <c r="R30" i="92"/>
  <c r="N30" i="92"/>
  <c r="L30" i="92"/>
  <c r="B30" i="92"/>
  <c r="Z29" i="92"/>
  <c r="X29" i="92"/>
  <c r="V29" i="92"/>
  <c r="N29" i="92"/>
  <c r="L29" i="92"/>
  <c r="B29" i="92"/>
  <c r="X28" i="92"/>
  <c r="Z28" i="92" s="1"/>
  <c r="R28" i="92"/>
  <c r="L28" i="92"/>
  <c r="N28" i="92" s="1"/>
  <c r="B28" i="92"/>
  <c r="Z27" i="92"/>
  <c r="X27" i="92"/>
  <c r="V27" i="92"/>
  <c r="N27" i="92"/>
  <c r="L27" i="92"/>
  <c r="B27" i="92"/>
  <c r="Z26" i="92"/>
  <c r="X26" i="92"/>
  <c r="N26" i="92"/>
  <c r="L26" i="92"/>
  <c r="B26" i="92"/>
  <c r="Z25" i="92"/>
  <c r="X25" i="92"/>
  <c r="N25" i="92"/>
  <c r="L25" i="92"/>
  <c r="J25" i="92"/>
  <c r="B25" i="92"/>
  <c r="X24" i="92"/>
  <c r="Z24" i="92" s="1"/>
  <c r="L24" i="92"/>
  <c r="N24" i="92" s="1"/>
  <c r="F24" i="92"/>
  <c r="B24" i="92"/>
  <c r="X23" i="92"/>
  <c r="Z23" i="92" s="1"/>
  <c r="N23" i="92"/>
  <c r="L23" i="92"/>
  <c r="J23" i="92"/>
  <c r="B23" i="92"/>
  <c r="X22" i="92"/>
  <c r="Z22" i="92" s="1"/>
  <c r="R22" i="92"/>
  <c r="L22" i="92"/>
  <c r="N22" i="92" s="1"/>
  <c r="B22" i="92"/>
  <c r="Z21" i="92"/>
  <c r="X21" i="92"/>
  <c r="V21" i="92"/>
  <c r="N21" i="92"/>
  <c r="L21" i="92"/>
  <c r="B21" i="92"/>
  <c r="X20" i="92"/>
  <c r="T20" i="92"/>
  <c r="P20" i="92"/>
  <c r="H20" i="92"/>
  <c r="D20" i="92"/>
  <c r="B20" i="92"/>
  <c r="T19" i="92" a="1"/>
  <c r="T19" i="92"/>
  <c r="P19" i="92" a="1"/>
  <c r="P19" i="92" s="1"/>
  <c r="X19" i="92" s="1"/>
  <c r="H19" i="92" a="1"/>
  <c r="H19" i="92"/>
  <c r="D19" i="92" a="1"/>
  <c r="D19" i="92" s="1"/>
  <c r="L19" i="92" s="1"/>
  <c r="T17" i="92"/>
  <c r="Z15" i="92"/>
  <c r="V15" i="92"/>
  <c r="T15" i="92"/>
  <c r="P15" i="92"/>
  <c r="X15" i="92" s="1"/>
  <c r="L15" i="92"/>
  <c r="J15" i="92"/>
  <c r="H15" i="92"/>
  <c r="N15" i="92" s="1"/>
  <c r="F15" i="92"/>
  <c r="D15" i="92"/>
  <c r="X13" i="92"/>
  <c r="Z13" i="92" s="1"/>
  <c r="P13" i="92"/>
  <c r="L13" i="92"/>
  <c r="N13" i="92" s="1"/>
  <c r="D13" i="92"/>
  <c r="B13" i="92"/>
  <c r="T12" i="92"/>
  <c r="V35" i="92" s="1"/>
  <c r="P12" i="92"/>
  <c r="R68" i="92" s="1"/>
  <c r="L12" i="92"/>
  <c r="N12" i="92" s="1"/>
  <c r="H12" i="92"/>
  <c r="D12" i="92"/>
  <c r="F53" i="92" s="1"/>
  <c r="D6" i="92"/>
  <c r="D4" i="92"/>
  <c r="X94" i="91"/>
  <c r="Z94" i="91" s="1"/>
  <c r="L94" i="91"/>
  <c r="N94" i="91" s="1"/>
  <c r="X90" i="91"/>
  <c r="T90" i="91"/>
  <c r="Z90" i="91" s="1"/>
  <c r="P90" i="91"/>
  <c r="L90" i="91"/>
  <c r="H90" i="91"/>
  <c r="N90" i="91" s="1"/>
  <c r="D90" i="91"/>
  <c r="Z88" i="91"/>
  <c r="X88" i="91"/>
  <c r="N88" i="91"/>
  <c r="L88" i="91"/>
  <c r="B88" i="91"/>
  <c r="Z87" i="91"/>
  <c r="X87" i="91"/>
  <c r="V87" i="91"/>
  <c r="T87" i="91"/>
  <c r="P87" i="91"/>
  <c r="H87" i="91"/>
  <c r="N87" i="91" s="1"/>
  <c r="D87" i="91"/>
  <c r="L87" i="91" s="1"/>
  <c r="B87" i="91"/>
  <c r="X86" i="91"/>
  <c r="Z86" i="91" s="1"/>
  <c r="L86" i="91"/>
  <c r="N86" i="91" s="1"/>
  <c r="B86" i="91"/>
  <c r="T85" i="91"/>
  <c r="P85" i="91"/>
  <c r="X85" i="91" s="1"/>
  <c r="H85" i="91"/>
  <c r="D85" i="91"/>
  <c r="L85" i="91" s="1"/>
  <c r="N85" i="91" s="1"/>
  <c r="B85" i="91"/>
  <c r="X84" i="91"/>
  <c r="Z84" i="91" s="1"/>
  <c r="N84" i="91"/>
  <c r="L84" i="91"/>
  <c r="B84" i="91"/>
  <c r="Z83" i="91"/>
  <c r="T83" i="91"/>
  <c r="P83" i="91"/>
  <c r="X83" i="91" s="1"/>
  <c r="H83" i="91"/>
  <c r="D83" i="91"/>
  <c r="L83" i="91" s="1"/>
  <c r="N83" i="91" s="1"/>
  <c r="B83" i="91"/>
  <c r="X82" i="91"/>
  <c r="Z82" i="91" s="1"/>
  <c r="N82" i="91"/>
  <c r="L82" i="91"/>
  <c r="B82" i="91"/>
  <c r="Z81" i="91"/>
  <c r="X81" i="91"/>
  <c r="N81" i="91"/>
  <c r="L81" i="91"/>
  <c r="B81" i="91"/>
  <c r="X80" i="91"/>
  <c r="Z80" i="91" s="1"/>
  <c r="L80" i="91"/>
  <c r="N80" i="91" s="1"/>
  <c r="B80" i="91"/>
  <c r="Z79" i="91"/>
  <c r="X79" i="91"/>
  <c r="L79" i="91"/>
  <c r="N79" i="91" s="1"/>
  <c r="J79" i="91"/>
  <c r="B79" i="91"/>
  <c r="Z78" i="91"/>
  <c r="X78" i="91"/>
  <c r="L78" i="91"/>
  <c r="N78" i="91" s="1"/>
  <c r="B78" i="91"/>
  <c r="X77" i="91"/>
  <c r="Z77" i="91" s="1"/>
  <c r="N77" i="91"/>
  <c r="L77" i="91"/>
  <c r="B77" i="91"/>
  <c r="X76" i="91"/>
  <c r="Z76" i="91" s="1"/>
  <c r="L76" i="91"/>
  <c r="N76" i="91" s="1"/>
  <c r="B76" i="91"/>
  <c r="X75" i="91"/>
  <c r="T75" i="91"/>
  <c r="Z75" i="91" s="1"/>
  <c r="P75" i="91"/>
  <c r="H75" i="91"/>
  <c r="D75" i="91"/>
  <c r="L75" i="91" s="1"/>
  <c r="B75" i="91"/>
  <c r="X74" i="91"/>
  <c r="Z74" i="91" s="1"/>
  <c r="L74" i="91"/>
  <c r="N74" i="91" s="1"/>
  <c r="B74" i="91"/>
  <c r="X73" i="91"/>
  <c r="Z73" i="91" s="1"/>
  <c r="N73" i="91"/>
  <c r="L73" i="91"/>
  <c r="J73" i="91"/>
  <c r="B73" i="91"/>
  <c r="Z72" i="91"/>
  <c r="X72" i="91"/>
  <c r="L72" i="91"/>
  <c r="N72" i="91" s="1"/>
  <c r="B72" i="91"/>
  <c r="X71" i="91"/>
  <c r="Z71" i="91" s="1"/>
  <c r="V71" i="91"/>
  <c r="N71" i="91"/>
  <c r="L71" i="91"/>
  <c r="B71" i="91"/>
  <c r="X70" i="91"/>
  <c r="T70" i="91"/>
  <c r="P70" i="91"/>
  <c r="H70" i="91"/>
  <c r="D70" i="91"/>
  <c r="L70" i="91" s="1"/>
  <c r="B70" i="91"/>
  <c r="Z69" i="91"/>
  <c r="X69" i="91"/>
  <c r="N69" i="91"/>
  <c r="L69" i="91"/>
  <c r="J69" i="91"/>
  <c r="B69" i="91"/>
  <c r="Z68" i="91"/>
  <c r="X68" i="91"/>
  <c r="N68" i="91"/>
  <c r="L68" i="91"/>
  <c r="B68" i="91"/>
  <c r="Z67" i="91"/>
  <c r="X67" i="91"/>
  <c r="V67" i="91"/>
  <c r="N67" i="91"/>
  <c r="L67" i="91"/>
  <c r="B67" i="91"/>
  <c r="X66" i="91"/>
  <c r="T66" i="91"/>
  <c r="P66" i="91"/>
  <c r="H66" i="91"/>
  <c r="D66" i="91"/>
  <c r="L66" i="91" s="1"/>
  <c r="B66" i="91"/>
  <c r="Z65" i="91"/>
  <c r="X65" i="91"/>
  <c r="N65" i="91"/>
  <c r="L65" i="91"/>
  <c r="J65" i="91"/>
  <c r="B65" i="91"/>
  <c r="T64" i="91"/>
  <c r="P64" i="91"/>
  <c r="H64" i="91"/>
  <c r="D64" i="91"/>
  <c r="L64" i="91" s="1"/>
  <c r="B64" i="91"/>
  <c r="Z63" i="91"/>
  <c r="X63" i="91"/>
  <c r="L63" i="91"/>
  <c r="N63" i="91" s="1"/>
  <c r="J63" i="91"/>
  <c r="B63" i="91"/>
  <c r="T62" i="91"/>
  <c r="P62" i="91"/>
  <c r="X62" i="91" s="1"/>
  <c r="L62" i="91"/>
  <c r="H62" i="91"/>
  <c r="D62" i="91"/>
  <c r="B62" i="91"/>
  <c r="Z61" i="91"/>
  <c r="X61" i="91"/>
  <c r="N61" i="91"/>
  <c r="L61" i="91"/>
  <c r="B61" i="91"/>
  <c r="X60" i="91"/>
  <c r="T60" i="91"/>
  <c r="P60" i="91"/>
  <c r="H60" i="91"/>
  <c r="N60" i="91" s="1"/>
  <c r="D60" i="91"/>
  <c r="B60" i="91"/>
  <c r="X59" i="91"/>
  <c r="Z59" i="91" s="1"/>
  <c r="N59" i="91"/>
  <c r="L59" i="91"/>
  <c r="B59" i="91"/>
  <c r="T58" i="91"/>
  <c r="P58" i="91"/>
  <c r="H58" i="91"/>
  <c r="D58" i="91"/>
  <c r="L58" i="91" s="1"/>
  <c r="B58" i="91"/>
  <c r="Z57" i="91"/>
  <c r="X57" i="91"/>
  <c r="N57" i="91"/>
  <c r="L57" i="91"/>
  <c r="B57" i="91"/>
  <c r="T56" i="91"/>
  <c r="P56" i="91"/>
  <c r="H56" i="91"/>
  <c r="N56" i="91" s="1"/>
  <c r="D56" i="91"/>
  <c r="L56" i="91" s="1"/>
  <c r="B56" i="91"/>
  <c r="Z55" i="91"/>
  <c r="X55" i="91"/>
  <c r="L55" i="91"/>
  <c r="N55" i="91" s="1"/>
  <c r="J55" i="91"/>
  <c r="B55" i="91"/>
  <c r="T54" i="91"/>
  <c r="Z54" i="91" s="1"/>
  <c r="P54" i="91"/>
  <c r="X54" i="91" s="1"/>
  <c r="L54" i="91"/>
  <c r="H54" i="91"/>
  <c r="N54" i="91" s="1"/>
  <c r="D54" i="91"/>
  <c r="B54" i="91"/>
  <c r="Z53" i="91"/>
  <c r="X53" i="91"/>
  <c r="N53" i="91"/>
  <c r="L53" i="91"/>
  <c r="B53" i="91"/>
  <c r="X52" i="91"/>
  <c r="T52" i="91"/>
  <c r="Z52" i="91" s="1"/>
  <c r="P52" i="91"/>
  <c r="H52" i="91"/>
  <c r="D52" i="91"/>
  <c r="B52" i="91"/>
  <c r="X51" i="91"/>
  <c r="Z51" i="91" s="1"/>
  <c r="N51" i="91"/>
  <c r="L51" i="91"/>
  <c r="B51" i="91"/>
  <c r="X50" i="91"/>
  <c r="T50" i="91"/>
  <c r="P50" i="91"/>
  <c r="H50" i="91"/>
  <c r="D50" i="91"/>
  <c r="B50" i="91"/>
  <c r="Z49" i="91"/>
  <c r="X49" i="91"/>
  <c r="N49" i="91"/>
  <c r="L49" i="91"/>
  <c r="B49" i="91"/>
  <c r="T48" i="91"/>
  <c r="P48" i="91"/>
  <c r="X48" i="91" s="1"/>
  <c r="H48" i="91"/>
  <c r="D48" i="91"/>
  <c r="L48" i="91" s="1"/>
  <c r="B48" i="91"/>
  <c r="Z47" i="91"/>
  <c r="X47" i="91"/>
  <c r="N47" i="91"/>
  <c r="L47" i="91"/>
  <c r="J47" i="91"/>
  <c r="B47" i="91"/>
  <c r="Z46" i="91"/>
  <c r="X46" i="91"/>
  <c r="N46" i="91"/>
  <c r="L46" i="91"/>
  <c r="B46" i="91"/>
  <c r="Z45" i="91"/>
  <c r="X45" i="91"/>
  <c r="N45" i="91"/>
  <c r="L45" i="91"/>
  <c r="B45" i="91"/>
  <c r="X44" i="91"/>
  <c r="Z44" i="91" s="1"/>
  <c r="N44" i="91"/>
  <c r="L44" i="91"/>
  <c r="B44" i="91"/>
  <c r="Z43" i="91"/>
  <c r="X43" i="91"/>
  <c r="N43" i="91"/>
  <c r="L43" i="91"/>
  <c r="B43" i="91"/>
  <c r="X42" i="91"/>
  <c r="Z42" i="91" s="1"/>
  <c r="L42" i="91"/>
  <c r="N42" i="91" s="1"/>
  <c r="B42" i="91"/>
  <c r="Z41" i="91"/>
  <c r="X41" i="91"/>
  <c r="N41" i="91"/>
  <c r="L41" i="91"/>
  <c r="B41" i="91"/>
  <c r="Z40" i="91"/>
  <c r="X40" i="91"/>
  <c r="N40" i="91"/>
  <c r="L40" i="91"/>
  <c r="B40" i="91"/>
  <c r="Z39" i="91"/>
  <c r="X39" i="91"/>
  <c r="L39" i="91"/>
  <c r="N39" i="91" s="1"/>
  <c r="B39" i="91"/>
  <c r="Z38" i="91"/>
  <c r="X38" i="91"/>
  <c r="N38" i="91"/>
  <c r="L38" i="91"/>
  <c r="B38" i="91"/>
  <c r="T37" i="91"/>
  <c r="P37" i="91"/>
  <c r="X37" i="91" s="1"/>
  <c r="H37" i="91"/>
  <c r="D37" i="91"/>
  <c r="L37" i="91" s="1"/>
  <c r="N37" i="91" s="1"/>
  <c r="B37" i="91"/>
  <c r="Z36" i="91"/>
  <c r="X36" i="91"/>
  <c r="L36" i="91"/>
  <c r="N36" i="91" s="1"/>
  <c r="J36" i="91"/>
  <c r="B36" i="91"/>
  <c r="X35" i="91"/>
  <c r="Z35" i="91" s="1"/>
  <c r="L35" i="91"/>
  <c r="N35" i="91" s="1"/>
  <c r="B35" i="91"/>
  <c r="X34" i="91"/>
  <c r="Z34" i="91" s="1"/>
  <c r="N34" i="91"/>
  <c r="L34" i="91"/>
  <c r="J34" i="91"/>
  <c r="B34" i="91"/>
  <c r="Z33" i="91"/>
  <c r="X33" i="91"/>
  <c r="N33" i="91"/>
  <c r="L33" i="91"/>
  <c r="B33" i="91"/>
  <c r="Z32" i="91"/>
  <c r="X32" i="91"/>
  <c r="V32" i="91"/>
  <c r="N32" i="91"/>
  <c r="L32" i="91"/>
  <c r="B32" i="91"/>
  <c r="X31" i="91"/>
  <c r="Z31" i="91" s="1"/>
  <c r="L31" i="91"/>
  <c r="N31" i="91" s="1"/>
  <c r="J31" i="91"/>
  <c r="B31" i="91"/>
  <c r="Z30" i="91"/>
  <c r="X30" i="91"/>
  <c r="L30" i="91"/>
  <c r="N30" i="91" s="1"/>
  <c r="B30" i="91"/>
  <c r="X29" i="91"/>
  <c r="Z29" i="91" s="1"/>
  <c r="N29" i="91"/>
  <c r="L29" i="91"/>
  <c r="B29" i="91"/>
  <c r="Z28" i="91"/>
  <c r="X28" i="91"/>
  <c r="N28" i="91"/>
  <c r="L28" i="91"/>
  <c r="J28" i="91"/>
  <c r="B28" i="91"/>
  <c r="X27" i="91"/>
  <c r="Z27" i="91" s="1"/>
  <c r="L27" i="91"/>
  <c r="N27" i="91" s="1"/>
  <c r="B27" i="91"/>
  <c r="X26" i="91"/>
  <c r="T26" i="91"/>
  <c r="Z26" i="91" s="1"/>
  <c r="P26" i="91"/>
  <c r="N26" i="91"/>
  <c r="H26" i="91"/>
  <c r="D26" i="91"/>
  <c r="L26" i="91" s="1"/>
  <c r="B26" i="91"/>
  <c r="X25" i="91"/>
  <c r="T25" i="91" a="1"/>
  <c r="T25" i="91"/>
  <c r="Z25" i="91" s="1"/>
  <c r="P25" i="91" a="1"/>
  <c r="P25" i="91"/>
  <c r="H25" i="91" a="1"/>
  <c r="H25" i="91" s="1"/>
  <c r="D25" i="91" a="1"/>
  <c r="D25" i="91"/>
  <c r="L25" i="91" s="1"/>
  <c r="H23" i="91"/>
  <c r="Z21" i="91"/>
  <c r="X21" i="91"/>
  <c r="N21" i="91"/>
  <c r="L21" i="91"/>
  <c r="B21" i="91"/>
  <c r="Z20" i="91"/>
  <c r="X20" i="91"/>
  <c r="N20" i="91"/>
  <c r="L20" i="91"/>
  <c r="J20" i="91"/>
  <c r="B20" i="91"/>
  <c r="X19" i="91"/>
  <c r="Z19" i="91" s="1"/>
  <c r="L19" i="91"/>
  <c r="N19" i="91" s="1"/>
  <c r="J19" i="91"/>
  <c r="B19" i="91"/>
  <c r="T18" i="91"/>
  <c r="P18" i="91"/>
  <c r="X18" i="91" s="1"/>
  <c r="Z18" i="91" s="1"/>
  <c r="L18" i="91"/>
  <c r="J18" i="91"/>
  <c r="H18" i="91"/>
  <c r="N18" i="91" s="1"/>
  <c r="D18" i="91"/>
  <c r="Z16" i="91"/>
  <c r="X16" i="91"/>
  <c r="P16" i="91"/>
  <c r="N16" i="91"/>
  <c r="L16" i="91"/>
  <c r="D16" i="91"/>
  <c r="B16" i="91"/>
  <c r="Z15" i="91"/>
  <c r="X15" i="91"/>
  <c r="P15" i="91"/>
  <c r="N15" i="91"/>
  <c r="D15" i="91"/>
  <c r="B15" i="91"/>
  <c r="Z14" i="91"/>
  <c r="P14" i="91"/>
  <c r="X14" i="91" s="1"/>
  <c r="D14" i="91"/>
  <c r="L14" i="91" s="1"/>
  <c r="N14" i="91" s="1"/>
  <c r="B14" i="91"/>
  <c r="Z13" i="91"/>
  <c r="X13" i="91"/>
  <c r="P13" i="91"/>
  <c r="N13" i="91"/>
  <c r="L13" i="91"/>
  <c r="D13" i="91"/>
  <c r="B13" i="91"/>
  <c r="T12" i="91"/>
  <c r="H12" i="91"/>
  <c r="J29" i="91" s="1"/>
  <c r="D6" i="91"/>
  <c r="D4" i="91"/>
  <c r="Z95" i="90"/>
  <c r="X95" i="90"/>
  <c r="L95" i="90"/>
  <c r="N95" i="90" s="1"/>
  <c r="X91" i="90"/>
  <c r="V91" i="90"/>
  <c r="T91" i="90"/>
  <c r="Z91" i="90" s="1"/>
  <c r="P91" i="90"/>
  <c r="H91" i="90"/>
  <c r="N91" i="90" s="1"/>
  <c r="D91" i="90"/>
  <c r="Z89" i="90"/>
  <c r="X89" i="90"/>
  <c r="L89" i="90"/>
  <c r="N89" i="90" s="1"/>
  <c r="B89" i="90"/>
  <c r="T88" i="90"/>
  <c r="P88" i="90"/>
  <c r="X88" i="90" s="1"/>
  <c r="Z88" i="90" s="1"/>
  <c r="L88" i="90"/>
  <c r="H88" i="90"/>
  <c r="N88" i="90" s="1"/>
  <c r="D88" i="90"/>
  <c r="B88" i="90"/>
  <c r="Z87" i="90"/>
  <c r="X87" i="90"/>
  <c r="N87" i="90"/>
  <c r="L87" i="90"/>
  <c r="B87" i="90"/>
  <c r="X86" i="90"/>
  <c r="T86" i="90"/>
  <c r="P86" i="90"/>
  <c r="L86" i="90"/>
  <c r="H86" i="90"/>
  <c r="D86" i="90"/>
  <c r="B86" i="90"/>
  <c r="X85" i="90"/>
  <c r="Z85" i="90" s="1"/>
  <c r="V85" i="90"/>
  <c r="N85" i="90"/>
  <c r="L85" i="90"/>
  <c r="B85" i="90"/>
  <c r="Z84" i="90"/>
  <c r="X84" i="90"/>
  <c r="N84" i="90"/>
  <c r="L84" i="90"/>
  <c r="B84" i="90"/>
  <c r="Z83" i="90"/>
  <c r="X83" i="90"/>
  <c r="N83" i="90"/>
  <c r="L83" i="90"/>
  <c r="B83" i="90"/>
  <c r="X82" i="90"/>
  <c r="Z82" i="90" s="1"/>
  <c r="N82" i="90"/>
  <c r="L82" i="90"/>
  <c r="B82" i="90"/>
  <c r="Z81" i="90"/>
  <c r="X81" i="90"/>
  <c r="L81" i="90"/>
  <c r="N81" i="90" s="1"/>
  <c r="J81" i="90"/>
  <c r="B81" i="90"/>
  <c r="X80" i="90"/>
  <c r="Z80" i="90" s="1"/>
  <c r="L80" i="90"/>
  <c r="N80" i="90" s="1"/>
  <c r="B80" i="90"/>
  <c r="Z79" i="90"/>
  <c r="X79" i="90"/>
  <c r="N79" i="90"/>
  <c r="L79" i="90"/>
  <c r="B79" i="90"/>
  <c r="Z78" i="90"/>
  <c r="X78" i="90"/>
  <c r="N78" i="90"/>
  <c r="L78" i="90"/>
  <c r="B78" i="90"/>
  <c r="Z77" i="90"/>
  <c r="X77" i="90"/>
  <c r="N77" i="90"/>
  <c r="L77" i="90"/>
  <c r="B77" i="90"/>
  <c r="X76" i="90"/>
  <c r="T76" i="90"/>
  <c r="P76" i="90"/>
  <c r="H76" i="90"/>
  <c r="D76" i="90"/>
  <c r="L76" i="90" s="1"/>
  <c r="B76" i="90"/>
  <c r="Z75" i="90"/>
  <c r="X75" i="90"/>
  <c r="N75" i="90"/>
  <c r="L75" i="90"/>
  <c r="B75" i="90"/>
  <c r="T74" i="90"/>
  <c r="P74" i="90"/>
  <c r="N74" i="90"/>
  <c r="H74" i="90"/>
  <c r="D74" i="90"/>
  <c r="L74" i="90" s="1"/>
  <c r="B74" i="90"/>
  <c r="Z73" i="90"/>
  <c r="X73" i="90"/>
  <c r="L73" i="90"/>
  <c r="N73" i="90" s="1"/>
  <c r="B73" i="90"/>
  <c r="X72" i="90"/>
  <c r="Z72" i="90" s="1"/>
  <c r="L72" i="90"/>
  <c r="N72" i="90" s="1"/>
  <c r="B72" i="90"/>
  <c r="Z71" i="90"/>
  <c r="X71" i="90"/>
  <c r="N71" i="90"/>
  <c r="L71" i="90"/>
  <c r="J71" i="90"/>
  <c r="B71" i="90"/>
  <c r="Z70" i="90"/>
  <c r="X70" i="90"/>
  <c r="L70" i="90"/>
  <c r="N70" i="90" s="1"/>
  <c r="B70" i="90"/>
  <c r="X69" i="90"/>
  <c r="V69" i="90"/>
  <c r="T69" i="90"/>
  <c r="Z69" i="90" s="1"/>
  <c r="P69" i="90"/>
  <c r="H69" i="90"/>
  <c r="D69" i="90"/>
  <c r="B69" i="90"/>
  <c r="X68" i="90"/>
  <c r="Z68" i="90" s="1"/>
  <c r="L68" i="90"/>
  <c r="N68" i="90" s="1"/>
  <c r="B68" i="90"/>
  <c r="Z67" i="90"/>
  <c r="X67" i="90"/>
  <c r="N67" i="90"/>
  <c r="L67" i="90"/>
  <c r="J67" i="90"/>
  <c r="B67" i="90"/>
  <c r="T66" i="90"/>
  <c r="P66" i="90"/>
  <c r="H66" i="90"/>
  <c r="D66" i="90"/>
  <c r="L66" i="90" s="1"/>
  <c r="N66" i="90" s="1"/>
  <c r="B66" i="90"/>
  <c r="Z65" i="90"/>
  <c r="X65" i="90"/>
  <c r="L65" i="90"/>
  <c r="N65" i="90" s="1"/>
  <c r="B65" i="90"/>
  <c r="T64" i="90"/>
  <c r="P64" i="90"/>
  <c r="X64" i="90" s="1"/>
  <c r="Z64" i="90" s="1"/>
  <c r="L64" i="90"/>
  <c r="H64" i="90"/>
  <c r="N64" i="90" s="1"/>
  <c r="D64" i="90"/>
  <c r="B64" i="90"/>
  <c r="Z63" i="90"/>
  <c r="X63" i="90"/>
  <c r="N63" i="90"/>
  <c r="L63" i="90"/>
  <c r="B63" i="90"/>
  <c r="X62" i="90"/>
  <c r="T62" i="90"/>
  <c r="P62" i="90"/>
  <c r="L62" i="90"/>
  <c r="H62" i="90"/>
  <c r="D62" i="90"/>
  <c r="B62" i="90"/>
  <c r="X61" i="90"/>
  <c r="Z61" i="90" s="1"/>
  <c r="V61" i="90"/>
  <c r="N61" i="90"/>
  <c r="L61" i="90"/>
  <c r="B61" i="90"/>
  <c r="T60" i="90"/>
  <c r="P60" i="90"/>
  <c r="H60" i="90"/>
  <c r="D60" i="90"/>
  <c r="L60" i="90" s="1"/>
  <c r="B60" i="90"/>
  <c r="Z59" i="90"/>
  <c r="X59" i="90"/>
  <c r="N59" i="90"/>
  <c r="L59" i="90"/>
  <c r="B59" i="90"/>
  <c r="T58" i="90"/>
  <c r="P58" i="90"/>
  <c r="H58" i="90"/>
  <c r="N58" i="90" s="1"/>
  <c r="D58" i="90"/>
  <c r="L58" i="90" s="1"/>
  <c r="B58" i="90"/>
  <c r="Z57" i="90"/>
  <c r="X57" i="90"/>
  <c r="L57" i="90"/>
  <c r="N57" i="90" s="1"/>
  <c r="J57" i="90"/>
  <c r="B57" i="90"/>
  <c r="T56" i="90"/>
  <c r="Z56" i="90" s="1"/>
  <c r="P56" i="90"/>
  <c r="X56" i="90" s="1"/>
  <c r="L56" i="90"/>
  <c r="H56" i="90"/>
  <c r="N56" i="90" s="1"/>
  <c r="D56" i="90"/>
  <c r="B56" i="90"/>
  <c r="Z55" i="90"/>
  <c r="X55" i="90"/>
  <c r="N55" i="90"/>
  <c r="L55" i="90"/>
  <c r="B55" i="90"/>
  <c r="X54" i="90"/>
  <c r="T54" i="90"/>
  <c r="Z54" i="90" s="1"/>
  <c r="P54" i="90"/>
  <c r="L54" i="90"/>
  <c r="H54" i="90"/>
  <c r="D54" i="90"/>
  <c r="B54" i="90"/>
  <c r="X53" i="90"/>
  <c r="Z53" i="90" s="1"/>
  <c r="N53" i="90"/>
  <c r="L53" i="90"/>
  <c r="B53" i="90"/>
  <c r="X52" i="90"/>
  <c r="T52" i="90"/>
  <c r="P52" i="90"/>
  <c r="H52" i="90"/>
  <c r="D52" i="90"/>
  <c r="B52" i="90"/>
  <c r="Z51" i="90"/>
  <c r="X51" i="90"/>
  <c r="N51" i="90"/>
  <c r="L51" i="90"/>
  <c r="B51" i="90"/>
  <c r="T50" i="90"/>
  <c r="P50" i="90"/>
  <c r="X50" i="90" s="1"/>
  <c r="H50" i="90"/>
  <c r="N50" i="90" s="1"/>
  <c r="D50" i="90"/>
  <c r="L50" i="90" s="1"/>
  <c r="B50" i="90"/>
  <c r="Z49" i="90"/>
  <c r="X49" i="90"/>
  <c r="L49" i="90"/>
  <c r="N49" i="90" s="1"/>
  <c r="B49" i="90"/>
  <c r="T48" i="90"/>
  <c r="Z48" i="90" s="1"/>
  <c r="P48" i="90"/>
  <c r="X48" i="90" s="1"/>
  <c r="L48" i="90"/>
  <c r="H48" i="90"/>
  <c r="D48" i="90"/>
  <c r="B48" i="90"/>
  <c r="Z47" i="90"/>
  <c r="X47" i="90"/>
  <c r="V47" i="90"/>
  <c r="N47" i="90"/>
  <c r="L47" i="90"/>
  <c r="B47" i="90"/>
  <c r="Z46" i="90"/>
  <c r="X46" i="90"/>
  <c r="N46" i="90"/>
  <c r="L46" i="90"/>
  <c r="F46" i="90"/>
  <c r="B46" i="90"/>
  <c r="Z45" i="90"/>
  <c r="X45" i="90"/>
  <c r="L45" i="90"/>
  <c r="N45" i="90" s="1"/>
  <c r="B45" i="90"/>
  <c r="X44" i="90"/>
  <c r="Z44" i="90" s="1"/>
  <c r="N44" i="90"/>
  <c r="L44" i="90"/>
  <c r="B44" i="90"/>
  <c r="Z43" i="90"/>
  <c r="X43" i="90"/>
  <c r="N43" i="90"/>
  <c r="L43" i="90"/>
  <c r="J43" i="90"/>
  <c r="B43" i="90"/>
  <c r="X42" i="90"/>
  <c r="Z42" i="90" s="1"/>
  <c r="L42" i="90"/>
  <c r="N42" i="90" s="1"/>
  <c r="B42" i="90"/>
  <c r="X41" i="90"/>
  <c r="Z41" i="90" s="1"/>
  <c r="N41" i="90"/>
  <c r="L41" i="90"/>
  <c r="B41" i="90"/>
  <c r="Z40" i="90"/>
  <c r="X40" i="90"/>
  <c r="N40" i="90"/>
  <c r="L40" i="90"/>
  <c r="B40" i="90"/>
  <c r="Z39" i="90"/>
  <c r="X39" i="90"/>
  <c r="N39" i="90"/>
  <c r="L39" i="90"/>
  <c r="B39" i="90"/>
  <c r="Z38" i="90"/>
  <c r="X38" i="90"/>
  <c r="N38" i="90"/>
  <c r="L38" i="90"/>
  <c r="B38" i="90"/>
  <c r="Z37" i="90"/>
  <c r="T37" i="90"/>
  <c r="P37" i="90"/>
  <c r="X37" i="90" s="1"/>
  <c r="N37" i="90"/>
  <c r="J37" i="90"/>
  <c r="H37" i="90"/>
  <c r="D37" i="90"/>
  <c r="L37" i="90" s="1"/>
  <c r="B37" i="90"/>
  <c r="X36" i="90"/>
  <c r="Z36" i="90" s="1"/>
  <c r="L36" i="90"/>
  <c r="N36" i="90" s="1"/>
  <c r="B36" i="90"/>
  <c r="Z35" i="90"/>
  <c r="X35" i="90"/>
  <c r="L35" i="90"/>
  <c r="N35" i="90" s="1"/>
  <c r="B35" i="90"/>
  <c r="X34" i="90"/>
  <c r="Z34" i="90" s="1"/>
  <c r="N34" i="90"/>
  <c r="L34" i="90"/>
  <c r="F34" i="90"/>
  <c r="B34" i="90"/>
  <c r="Z33" i="90"/>
  <c r="X33" i="90"/>
  <c r="N33" i="90"/>
  <c r="L33" i="90"/>
  <c r="B33" i="90"/>
  <c r="Z32" i="90"/>
  <c r="X32" i="90"/>
  <c r="N32" i="90"/>
  <c r="L32" i="90"/>
  <c r="B32" i="90"/>
  <c r="X31" i="90"/>
  <c r="Z31" i="90" s="1"/>
  <c r="N31" i="90"/>
  <c r="L31" i="90"/>
  <c r="J31" i="90"/>
  <c r="B31" i="90"/>
  <c r="Z30" i="90"/>
  <c r="X30" i="90"/>
  <c r="L30" i="90"/>
  <c r="N30" i="90" s="1"/>
  <c r="F30" i="90"/>
  <c r="B30" i="90"/>
  <c r="X29" i="90"/>
  <c r="Z29" i="90" s="1"/>
  <c r="N29" i="90"/>
  <c r="L29" i="90"/>
  <c r="B29" i="90"/>
  <c r="X28" i="90"/>
  <c r="Z28" i="90" s="1"/>
  <c r="N28" i="90"/>
  <c r="L28" i="90"/>
  <c r="B28" i="90"/>
  <c r="Z27" i="90"/>
  <c r="X27" i="90"/>
  <c r="V27" i="90"/>
  <c r="L27" i="90"/>
  <c r="N27" i="90" s="1"/>
  <c r="B27" i="90"/>
  <c r="Z26" i="90"/>
  <c r="X26" i="90"/>
  <c r="T26" i="90"/>
  <c r="P26" i="90"/>
  <c r="L26" i="90"/>
  <c r="J26" i="90"/>
  <c r="H26" i="90"/>
  <c r="N26" i="90" s="1"/>
  <c r="D26" i="90"/>
  <c r="B26" i="90"/>
  <c r="V25" i="90"/>
  <c r="T25" i="90" a="1"/>
  <c r="T25" i="90" s="1"/>
  <c r="P25" i="90" a="1"/>
  <c r="P25" i="90" s="1"/>
  <c r="H25" i="90" a="1"/>
  <c r="H25" i="90" s="1"/>
  <c r="D25" i="90" a="1"/>
  <c r="D25" i="90" s="1"/>
  <c r="T23" i="90"/>
  <c r="F23" i="90"/>
  <c r="D23" i="90"/>
  <c r="Z21" i="90"/>
  <c r="X21" i="90"/>
  <c r="V21" i="90"/>
  <c r="N21" i="90"/>
  <c r="L21" i="90"/>
  <c r="J21" i="90"/>
  <c r="F21" i="90"/>
  <c r="B21" i="90"/>
  <c r="Z20" i="90"/>
  <c r="X20" i="90"/>
  <c r="N20" i="90"/>
  <c r="L20" i="90"/>
  <c r="J20" i="90"/>
  <c r="B20" i="90"/>
  <c r="Z19" i="90"/>
  <c r="X19" i="90"/>
  <c r="N19" i="90"/>
  <c r="L19" i="90"/>
  <c r="J19" i="90"/>
  <c r="B19" i="90"/>
  <c r="T18" i="90"/>
  <c r="R18" i="90"/>
  <c r="P18" i="90"/>
  <c r="X18" i="90" s="1"/>
  <c r="H18" i="90"/>
  <c r="D18" i="90"/>
  <c r="L18" i="90" s="1"/>
  <c r="N18" i="90" s="1"/>
  <c r="Z16" i="90"/>
  <c r="X16" i="90"/>
  <c r="P16" i="90"/>
  <c r="N16" i="90"/>
  <c r="L16" i="90"/>
  <c r="D16" i="90"/>
  <c r="B16" i="90"/>
  <c r="Z15" i="90"/>
  <c r="X15" i="90"/>
  <c r="P15" i="90"/>
  <c r="N15" i="90"/>
  <c r="L15" i="90"/>
  <c r="D15" i="90"/>
  <c r="B15" i="90"/>
  <c r="X14" i="90"/>
  <c r="Z14" i="90" s="1"/>
  <c r="P14" i="90"/>
  <c r="D14" i="90"/>
  <c r="L14" i="90" s="1"/>
  <c r="N14" i="90" s="1"/>
  <c r="B14" i="90"/>
  <c r="Z13" i="90"/>
  <c r="P13" i="90"/>
  <c r="X13" i="90" s="1"/>
  <c r="N13" i="90"/>
  <c r="L13" i="90"/>
  <c r="D13" i="90"/>
  <c r="B13" i="90"/>
  <c r="T12" i="90"/>
  <c r="P12" i="90"/>
  <c r="H12" i="90"/>
  <c r="J95" i="90" s="1"/>
  <c r="D12" i="90"/>
  <c r="F80" i="90" s="1"/>
  <c r="D6" i="90"/>
  <c r="D4" i="90"/>
  <c r="V31" i="89"/>
  <c r="Z26" i="89"/>
  <c r="X26" i="89"/>
  <c r="V26" i="89"/>
  <c r="N26" i="89"/>
  <c r="L26" i="89"/>
  <c r="V24" i="89"/>
  <c r="H24" i="89"/>
  <c r="F24" i="89"/>
  <c r="T22" i="89"/>
  <c r="Z22" i="89" s="1"/>
  <c r="P22" i="89"/>
  <c r="X22" i="89" s="1"/>
  <c r="N22" i="89"/>
  <c r="H22" i="89"/>
  <c r="L22" i="89" s="1"/>
  <c r="D22" i="89"/>
  <c r="Z20" i="89"/>
  <c r="X20" i="89"/>
  <c r="V20" i="89"/>
  <c r="N20" i="89"/>
  <c r="L20" i="89"/>
  <c r="B20" i="89"/>
  <c r="Z19" i="89"/>
  <c r="X19" i="89"/>
  <c r="V19" i="89"/>
  <c r="T19" i="89"/>
  <c r="P19" i="89"/>
  <c r="J19" i="89"/>
  <c r="H19" i="89"/>
  <c r="N19" i="89" s="1"/>
  <c r="D19" i="89"/>
  <c r="B19" i="89"/>
  <c r="T18" i="89"/>
  <c r="Z18" i="89" s="1"/>
  <c r="R18" i="89"/>
  <c r="P18" i="89"/>
  <c r="X18" i="89" s="1"/>
  <c r="H18" i="89"/>
  <c r="N18" i="89" s="1"/>
  <c r="D18" i="89"/>
  <c r="L18" i="89" s="1"/>
  <c r="J16" i="89"/>
  <c r="H16" i="89"/>
  <c r="N16" i="89" s="1"/>
  <c r="T14" i="89"/>
  <c r="R14" i="89"/>
  <c r="P14" i="89"/>
  <c r="X14" i="89" s="1"/>
  <c r="H14" i="89"/>
  <c r="N14" i="89" s="1"/>
  <c r="D14" i="89"/>
  <c r="L14" i="89" s="1"/>
  <c r="Z12" i="89"/>
  <c r="T12" i="89"/>
  <c r="V16" i="89" s="1"/>
  <c r="P12" i="89"/>
  <c r="R26" i="89" s="1"/>
  <c r="N12" i="89"/>
  <c r="H12" i="89"/>
  <c r="J28" i="89" s="1"/>
  <c r="D12" i="89"/>
  <c r="D6" i="89"/>
  <c r="D4" i="89"/>
  <c r="X93" i="88"/>
  <c r="Z93" i="88" s="1"/>
  <c r="L93" i="88"/>
  <c r="N93" i="88" s="1"/>
  <c r="X89" i="88"/>
  <c r="V89" i="88"/>
  <c r="T89" i="88"/>
  <c r="Z89" i="88" s="1"/>
  <c r="P89" i="88"/>
  <c r="H89" i="88"/>
  <c r="N89" i="88" s="1"/>
  <c r="D89" i="88"/>
  <c r="L89" i="88" s="1"/>
  <c r="X87" i="88"/>
  <c r="Z87" i="88" s="1"/>
  <c r="N87" i="88"/>
  <c r="L87" i="88"/>
  <c r="B87" i="88"/>
  <c r="T86" i="88"/>
  <c r="P86" i="88"/>
  <c r="X86" i="88" s="1"/>
  <c r="Z86" i="88" s="1"/>
  <c r="N86" i="88"/>
  <c r="L86" i="88"/>
  <c r="H86" i="88"/>
  <c r="D86" i="88"/>
  <c r="B86" i="88"/>
  <c r="Z85" i="88"/>
  <c r="X85" i="88"/>
  <c r="N85" i="88"/>
  <c r="L85" i="88"/>
  <c r="B85" i="88"/>
  <c r="Z84" i="88"/>
  <c r="X84" i="88"/>
  <c r="T84" i="88"/>
  <c r="P84" i="88"/>
  <c r="N84" i="88"/>
  <c r="L84" i="88"/>
  <c r="H84" i="88"/>
  <c r="D84" i="88"/>
  <c r="B84" i="88"/>
  <c r="X83" i="88"/>
  <c r="Z83" i="88" s="1"/>
  <c r="L83" i="88"/>
  <c r="N83" i="88" s="1"/>
  <c r="B83" i="88"/>
  <c r="Z82" i="88"/>
  <c r="X82" i="88"/>
  <c r="N82" i="88"/>
  <c r="L82" i="88"/>
  <c r="B82" i="88"/>
  <c r="Z81" i="88"/>
  <c r="X81" i="88"/>
  <c r="N81" i="88"/>
  <c r="L81" i="88"/>
  <c r="B81" i="88"/>
  <c r="Z80" i="88"/>
  <c r="X80" i="88"/>
  <c r="L80" i="88"/>
  <c r="N80" i="88" s="1"/>
  <c r="B80" i="88"/>
  <c r="X79" i="88"/>
  <c r="Z79" i="88" s="1"/>
  <c r="L79" i="88"/>
  <c r="N79" i="88" s="1"/>
  <c r="B79" i="88"/>
  <c r="Z78" i="88"/>
  <c r="X78" i="88"/>
  <c r="N78" i="88"/>
  <c r="L78" i="88"/>
  <c r="B78" i="88"/>
  <c r="Z77" i="88"/>
  <c r="X77" i="88"/>
  <c r="N77" i="88"/>
  <c r="L77" i="88"/>
  <c r="B77" i="88"/>
  <c r="Z76" i="88"/>
  <c r="X76" i="88"/>
  <c r="V76" i="88"/>
  <c r="N76" i="88"/>
  <c r="L76" i="88"/>
  <c r="B76" i="88"/>
  <c r="X75" i="88"/>
  <c r="T75" i="88"/>
  <c r="P75" i="88"/>
  <c r="H75" i="88"/>
  <c r="D75" i="88"/>
  <c r="B75" i="88"/>
  <c r="Z74" i="88"/>
  <c r="X74" i="88"/>
  <c r="L74" i="88"/>
  <c r="N74" i="88" s="1"/>
  <c r="B74" i="88"/>
  <c r="Z73" i="88"/>
  <c r="X73" i="88"/>
  <c r="N73" i="88"/>
  <c r="L73" i="88"/>
  <c r="B73" i="88"/>
  <c r="X72" i="88"/>
  <c r="Z72" i="88" s="1"/>
  <c r="V72" i="88"/>
  <c r="N72" i="88"/>
  <c r="L72" i="88"/>
  <c r="B72" i="88"/>
  <c r="X71" i="88"/>
  <c r="Z71" i="88" s="1"/>
  <c r="L71" i="88"/>
  <c r="N71" i="88" s="1"/>
  <c r="B71" i="88"/>
  <c r="Z70" i="88"/>
  <c r="X70" i="88"/>
  <c r="T70" i="88"/>
  <c r="P70" i="88"/>
  <c r="H70" i="88"/>
  <c r="D70" i="88"/>
  <c r="L70" i="88" s="1"/>
  <c r="B70" i="88"/>
  <c r="Z69" i="88"/>
  <c r="X69" i="88"/>
  <c r="N69" i="88"/>
  <c r="L69" i="88"/>
  <c r="B69" i="88"/>
  <c r="Z68" i="88"/>
  <c r="X68" i="88"/>
  <c r="N68" i="88"/>
  <c r="L68" i="88"/>
  <c r="B68" i="88"/>
  <c r="Z67" i="88"/>
  <c r="X67" i="88"/>
  <c r="V67" i="88"/>
  <c r="N67" i="88"/>
  <c r="L67" i="88"/>
  <c r="B67" i="88"/>
  <c r="Z66" i="88"/>
  <c r="X66" i="88"/>
  <c r="T66" i="88"/>
  <c r="P66" i="88"/>
  <c r="H66" i="88"/>
  <c r="D66" i="88"/>
  <c r="B66" i="88"/>
  <c r="Z65" i="88"/>
  <c r="X65" i="88"/>
  <c r="N65" i="88"/>
  <c r="L65" i="88"/>
  <c r="B65" i="88"/>
  <c r="T64" i="88"/>
  <c r="P64" i="88"/>
  <c r="X64" i="88" s="1"/>
  <c r="H64" i="88"/>
  <c r="D64" i="88"/>
  <c r="L64" i="88" s="1"/>
  <c r="N64" i="88" s="1"/>
  <c r="B64" i="88"/>
  <c r="X63" i="88"/>
  <c r="Z63" i="88" s="1"/>
  <c r="L63" i="88"/>
  <c r="N63" i="88" s="1"/>
  <c r="B63" i="88"/>
  <c r="T62" i="88"/>
  <c r="P62" i="88"/>
  <c r="X62" i="88" s="1"/>
  <c r="Z62" i="88" s="1"/>
  <c r="N62" i="88"/>
  <c r="L62" i="88"/>
  <c r="H62" i="88"/>
  <c r="D62" i="88"/>
  <c r="B62" i="88"/>
  <c r="Z61" i="88"/>
  <c r="X61" i="88"/>
  <c r="N61" i="88"/>
  <c r="L61" i="88"/>
  <c r="B61" i="88"/>
  <c r="Z60" i="88"/>
  <c r="X60" i="88"/>
  <c r="T60" i="88"/>
  <c r="P60" i="88"/>
  <c r="L60" i="88"/>
  <c r="N60" i="88" s="1"/>
  <c r="H60" i="88"/>
  <c r="D60" i="88"/>
  <c r="B60" i="88"/>
  <c r="X59" i="88"/>
  <c r="Z59" i="88" s="1"/>
  <c r="N59" i="88"/>
  <c r="L59" i="88"/>
  <c r="B59" i="88"/>
  <c r="Z58" i="88"/>
  <c r="X58" i="88"/>
  <c r="T58" i="88"/>
  <c r="P58" i="88"/>
  <c r="H58" i="88"/>
  <c r="N58" i="88" s="1"/>
  <c r="D58" i="88"/>
  <c r="L58" i="88" s="1"/>
  <c r="B58" i="88"/>
  <c r="Z57" i="88"/>
  <c r="X57" i="88"/>
  <c r="N57" i="88"/>
  <c r="L57" i="88"/>
  <c r="B57" i="88"/>
  <c r="T56" i="88"/>
  <c r="P56" i="88"/>
  <c r="H56" i="88"/>
  <c r="D56" i="88"/>
  <c r="L56" i="88" s="1"/>
  <c r="N56" i="88" s="1"/>
  <c r="B56" i="88"/>
  <c r="Z55" i="88"/>
  <c r="X55" i="88"/>
  <c r="N55" i="88"/>
  <c r="L55" i="88"/>
  <c r="B55" i="88"/>
  <c r="Z54" i="88"/>
  <c r="T54" i="88"/>
  <c r="P54" i="88"/>
  <c r="X54" i="88" s="1"/>
  <c r="N54" i="88"/>
  <c r="L54" i="88"/>
  <c r="H54" i="88"/>
  <c r="D54" i="88"/>
  <c r="B54" i="88"/>
  <c r="Z53" i="88"/>
  <c r="X53" i="88"/>
  <c r="N53" i="88"/>
  <c r="L53" i="88"/>
  <c r="B53" i="88"/>
  <c r="Z52" i="88"/>
  <c r="X52" i="88"/>
  <c r="T52" i="88"/>
  <c r="P52" i="88"/>
  <c r="L52" i="88"/>
  <c r="N52" i="88" s="1"/>
  <c r="H52" i="88"/>
  <c r="D52" i="88"/>
  <c r="B52" i="88"/>
  <c r="X51" i="88"/>
  <c r="Z51" i="88" s="1"/>
  <c r="L51" i="88"/>
  <c r="N51" i="88" s="1"/>
  <c r="B51" i="88"/>
  <c r="Z50" i="88"/>
  <c r="X50" i="88"/>
  <c r="T50" i="88"/>
  <c r="P50" i="88"/>
  <c r="H50" i="88"/>
  <c r="D50" i="88"/>
  <c r="L50" i="88" s="1"/>
  <c r="B50" i="88"/>
  <c r="Z49" i="88"/>
  <c r="X49" i="88"/>
  <c r="N49" i="88"/>
  <c r="L49" i="88"/>
  <c r="B49" i="88"/>
  <c r="T48" i="88"/>
  <c r="P48" i="88"/>
  <c r="X48" i="88" s="1"/>
  <c r="H48" i="88"/>
  <c r="D48" i="88"/>
  <c r="L48" i="88" s="1"/>
  <c r="N48" i="88" s="1"/>
  <c r="B48" i="88"/>
  <c r="Z47" i="88"/>
  <c r="X47" i="88"/>
  <c r="N47" i="88"/>
  <c r="L47" i="88"/>
  <c r="B47" i="88"/>
  <c r="Z46" i="88"/>
  <c r="X46" i="88"/>
  <c r="N46" i="88"/>
  <c r="L46" i="88"/>
  <c r="B46" i="88"/>
  <c r="Z45" i="88"/>
  <c r="X45" i="88"/>
  <c r="N45" i="88"/>
  <c r="L45" i="88"/>
  <c r="B45" i="88"/>
  <c r="Z44" i="88"/>
  <c r="X44" i="88"/>
  <c r="V44" i="88"/>
  <c r="N44" i="88"/>
  <c r="L44" i="88"/>
  <c r="B44" i="88"/>
  <c r="Z43" i="88"/>
  <c r="X43" i="88"/>
  <c r="V43" i="88"/>
  <c r="N43" i="88"/>
  <c r="L43" i="88"/>
  <c r="B43" i="88"/>
  <c r="Z42" i="88"/>
  <c r="X42" i="88"/>
  <c r="N42" i="88"/>
  <c r="L42" i="88"/>
  <c r="B42" i="88"/>
  <c r="Z41" i="88"/>
  <c r="X41" i="88"/>
  <c r="N41" i="88"/>
  <c r="L41" i="88"/>
  <c r="B41" i="88"/>
  <c r="Z40" i="88"/>
  <c r="X40" i="88"/>
  <c r="N40" i="88"/>
  <c r="L40" i="88"/>
  <c r="B40" i="88"/>
  <c r="X39" i="88"/>
  <c r="Z39" i="88" s="1"/>
  <c r="L39" i="88"/>
  <c r="N39" i="88" s="1"/>
  <c r="B39" i="88"/>
  <c r="Z38" i="88"/>
  <c r="X38" i="88"/>
  <c r="N38" i="88"/>
  <c r="L38" i="88"/>
  <c r="B38" i="88"/>
  <c r="T37" i="88"/>
  <c r="P37" i="88"/>
  <c r="L37" i="88"/>
  <c r="N37" i="88" s="1"/>
  <c r="H37" i="88"/>
  <c r="D37" i="88"/>
  <c r="B37" i="88"/>
  <c r="Z36" i="88"/>
  <c r="X36" i="88"/>
  <c r="N36" i="88"/>
  <c r="L36" i="88"/>
  <c r="B36" i="88"/>
  <c r="Z35" i="88"/>
  <c r="X35" i="88"/>
  <c r="L35" i="88"/>
  <c r="N35" i="88" s="1"/>
  <c r="B35" i="88"/>
  <c r="Z34" i="88"/>
  <c r="X34" i="88"/>
  <c r="N34" i="88"/>
  <c r="L34" i="88"/>
  <c r="B34" i="88"/>
  <c r="Z33" i="88"/>
  <c r="X33" i="88"/>
  <c r="N33" i="88"/>
  <c r="L33" i="88"/>
  <c r="B33" i="88"/>
  <c r="Z32" i="88"/>
  <c r="X32" i="88"/>
  <c r="V32" i="88"/>
  <c r="N32" i="88"/>
  <c r="L32" i="88"/>
  <c r="B32" i="88"/>
  <c r="X31" i="88"/>
  <c r="Z31" i="88" s="1"/>
  <c r="N31" i="88"/>
  <c r="L31" i="88"/>
  <c r="B31" i="88"/>
  <c r="Z30" i="88"/>
  <c r="X30" i="88"/>
  <c r="N30" i="88"/>
  <c r="L30" i="88"/>
  <c r="B30" i="88"/>
  <c r="X29" i="88"/>
  <c r="Z29" i="88" s="1"/>
  <c r="N29" i="88"/>
  <c r="L29" i="88"/>
  <c r="B29" i="88"/>
  <c r="X28" i="88"/>
  <c r="Z28" i="88" s="1"/>
  <c r="L28" i="88"/>
  <c r="N28" i="88" s="1"/>
  <c r="B28" i="88"/>
  <c r="Z27" i="88"/>
  <c r="X27" i="88"/>
  <c r="N27" i="88"/>
  <c r="L27" i="88"/>
  <c r="B27" i="88"/>
  <c r="T26" i="88"/>
  <c r="P26" i="88"/>
  <c r="L26" i="88"/>
  <c r="H26" i="88"/>
  <c r="D26" i="88"/>
  <c r="B26" i="88"/>
  <c r="T25" i="88" a="1"/>
  <c r="T25" i="88" s="1"/>
  <c r="P25" i="88" a="1"/>
  <c r="P25" i="88" s="1"/>
  <c r="X25" i="88" s="1"/>
  <c r="H25" i="88" a="1"/>
  <c r="H25" i="88" s="1"/>
  <c r="D25" i="88" a="1"/>
  <c r="D25" i="88" s="1"/>
  <c r="L25" i="88" s="1"/>
  <c r="Z21" i="88"/>
  <c r="X21" i="88"/>
  <c r="V21" i="88"/>
  <c r="N21" i="88"/>
  <c r="L21" i="88"/>
  <c r="J21" i="88"/>
  <c r="B21" i="88"/>
  <c r="Z20" i="88"/>
  <c r="X20" i="88"/>
  <c r="V20" i="88"/>
  <c r="N20" i="88"/>
  <c r="L20" i="88"/>
  <c r="B20" i="88"/>
  <c r="Z19" i="88"/>
  <c r="X19" i="88"/>
  <c r="N19" i="88"/>
  <c r="L19" i="88"/>
  <c r="B19" i="88"/>
  <c r="T18" i="88"/>
  <c r="P18" i="88"/>
  <c r="X18" i="88" s="1"/>
  <c r="N18" i="88"/>
  <c r="L18" i="88"/>
  <c r="H18" i="88"/>
  <c r="D18" i="88"/>
  <c r="Z16" i="88"/>
  <c r="P16" i="88"/>
  <c r="X16" i="88" s="1"/>
  <c r="N16" i="88"/>
  <c r="L16" i="88"/>
  <c r="D16" i="88"/>
  <c r="B16" i="88"/>
  <c r="Z15" i="88"/>
  <c r="X15" i="88"/>
  <c r="P15" i="88"/>
  <c r="N15" i="88"/>
  <c r="L15" i="88"/>
  <c r="D15" i="88"/>
  <c r="B15" i="88"/>
  <c r="X14" i="88"/>
  <c r="Z14" i="88" s="1"/>
  <c r="P14" i="88"/>
  <c r="D14" i="88"/>
  <c r="L14" i="88" s="1"/>
  <c r="N14" i="88" s="1"/>
  <c r="B14" i="88"/>
  <c r="Z13" i="88"/>
  <c r="P13" i="88"/>
  <c r="X13" i="88" s="1"/>
  <c r="N13" i="88"/>
  <c r="D13" i="88"/>
  <c r="L13" i="88" s="1"/>
  <c r="B13" i="88"/>
  <c r="T12" i="88"/>
  <c r="V75" i="88" s="1"/>
  <c r="H12" i="88"/>
  <c r="D6" i="88"/>
  <c r="D4" i="88"/>
  <c r="R66" i="87"/>
  <c r="J63" i="87"/>
  <c r="Z61" i="87"/>
  <c r="X61" i="87"/>
  <c r="N61" i="87"/>
  <c r="L61" i="87"/>
  <c r="Z57" i="87"/>
  <c r="T57" i="87"/>
  <c r="P57" i="87"/>
  <c r="X57" i="87" s="1"/>
  <c r="J57" i="87"/>
  <c r="H57" i="87"/>
  <c r="N57" i="87" s="1"/>
  <c r="D57" i="87"/>
  <c r="L57" i="87" s="1"/>
  <c r="Z55" i="87"/>
  <c r="X55" i="87"/>
  <c r="N55" i="87"/>
  <c r="L55" i="87"/>
  <c r="B55" i="87"/>
  <c r="T54" i="87"/>
  <c r="X54" i="87" s="1"/>
  <c r="R54" i="87"/>
  <c r="P54" i="87"/>
  <c r="J54" i="87"/>
  <c r="H54" i="87"/>
  <c r="N54" i="87" s="1"/>
  <c r="D54" i="87"/>
  <c r="L54" i="87" s="1"/>
  <c r="B54" i="87"/>
  <c r="Z53" i="87"/>
  <c r="X53" i="87"/>
  <c r="R53" i="87"/>
  <c r="N53" i="87"/>
  <c r="L53" i="87"/>
  <c r="J53" i="87"/>
  <c r="F53" i="87"/>
  <c r="B53" i="87"/>
  <c r="V52" i="87"/>
  <c r="T52" i="87"/>
  <c r="P52" i="87"/>
  <c r="X52" i="87" s="1"/>
  <c r="N52" i="87"/>
  <c r="H52" i="87"/>
  <c r="F52" i="87"/>
  <c r="D52" i="87"/>
  <c r="L52" i="87" s="1"/>
  <c r="B52" i="87"/>
  <c r="X51" i="87"/>
  <c r="Z51" i="87" s="1"/>
  <c r="L51" i="87"/>
  <c r="N51" i="87" s="1"/>
  <c r="B51" i="87"/>
  <c r="Z50" i="87"/>
  <c r="X50" i="87"/>
  <c r="N50" i="87"/>
  <c r="L50" i="87"/>
  <c r="F50" i="87"/>
  <c r="B50" i="87"/>
  <c r="T49" i="87"/>
  <c r="P49" i="87"/>
  <c r="N49" i="87"/>
  <c r="H49" i="87"/>
  <c r="D49" i="87"/>
  <c r="L49" i="87" s="1"/>
  <c r="B49" i="87"/>
  <c r="Z48" i="87"/>
  <c r="X48" i="87"/>
  <c r="V48" i="87"/>
  <c r="N48" i="87"/>
  <c r="L48" i="87"/>
  <c r="J48" i="87"/>
  <c r="B48" i="87"/>
  <c r="X47" i="87"/>
  <c r="Z47" i="87" s="1"/>
  <c r="L47" i="87"/>
  <c r="N47" i="87" s="1"/>
  <c r="B47" i="87"/>
  <c r="Z46" i="87"/>
  <c r="T46" i="87"/>
  <c r="P46" i="87"/>
  <c r="X46" i="87" s="1"/>
  <c r="L46" i="87"/>
  <c r="J46" i="87"/>
  <c r="H46" i="87"/>
  <c r="N46" i="87" s="1"/>
  <c r="D46" i="87"/>
  <c r="B46" i="87"/>
  <c r="Z45" i="87"/>
  <c r="X45" i="87"/>
  <c r="V45" i="87"/>
  <c r="N45" i="87"/>
  <c r="L45" i="87"/>
  <c r="F45" i="87"/>
  <c r="B45" i="87"/>
  <c r="X44" i="87"/>
  <c r="V44" i="87"/>
  <c r="T44" i="87"/>
  <c r="Z44" i="87" s="1"/>
  <c r="P44" i="87"/>
  <c r="H44" i="87"/>
  <c r="F44" i="87"/>
  <c r="D44" i="87"/>
  <c r="B44" i="87"/>
  <c r="X43" i="87"/>
  <c r="Z43" i="87" s="1"/>
  <c r="N43" i="87"/>
  <c r="L43" i="87"/>
  <c r="B43" i="87"/>
  <c r="Z42" i="87"/>
  <c r="T42" i="87"/>
  <c r="X42" i="87" s="1"/>
  <c r="R42" i="87"/>
  <c r="P42" i="87"/>
  <c r="J42" i="87"/>
  <c r="H42" i="87"/>
  <c r="N42" i="87" s="1"/>
  <c r="D42" i="87"/>
  <c r="L42" i="87" s="1"/>
  <c r="B42" i="87"/>
  <c r="Z41" i="87"/>
  <c r="X41" i="87"/>
  <c r="R41" i="87"/>
  <c r="N41" i="87"/>
  <c r="L41" i="87"/>
  <c r="J41" i="87"/>
  <c r="F41" i="87"/>
  <c r="B41" i="87"/>
  <c r="V40" i="87"/>
  <c r="T40" i="87"/>
  <c r="Z40" i="87" s="1"/>
  <c r="P40" i="87"/>
  <c r="X40" i="87" s="1"/>
  <c r="N40" i="87"/>
  <c r="H40" i="87"/>
  <c r="F40" i="87"/>
  <c r="D40" i="87"/>
  <c r="L40" i="87" s="1"/>
  <c r="B40" i="87"/>
  <c r="Z39" i="87"/>
  <c r="X39" i="87"/>
  <c r="N39" i="87"/>
  <c r="L39" i="87"/>
  <c r="B39" i="87"/>
  <c r="Z38" i="87"/>
  <c r="X38" i="87"/>
  <c r="N38" i="87"/>
  <c r="L38" i="87"/>
  <c r="F38" i="87"/>
  <c r="B38" i="87"/>
  <c r="Z37" i="87"/>
  <c r="X37" i="87"/>
  <c r="R37" i="87"/>
  <c r="N37" i="87"/>
  <c r="L37" i="87"/>
  <c r="J37" i="87"/>
  <c r="F37" i="87"/>
  <c r="B37" i="87"/>
  <c r="Z36" i="87"/>
  <c r="X36" i="87"/>
  <c r="V36" i="87"/>
  <c r="N36" i="87"/>
  <c r="L36" i="87"/>
  <c r="J36" i="87"/>
  <c r="B36" i="87"/>
  <c r="Z35" i="87"/>
  <c r="X35" i="87"/>
  <c r="N35" i="87"/>
  <c r="L35" i="87"/>
  <c r="B35" i="87"/>
  <c r="Z34" i="87"/>
  <c r="X34" i="87"/>
  <c r="R34" i="87"/>
  <c r="N34" i="87"/>
  <c r="L34" i="87"/>
  <c r="B34" i="87"/>
  <c r="Z33" i="87"/>
  <c r="X33" i="87"/>
  <c r="V33" i="87"/>
  <c r="R33" i="87"/>
  <c r="N33" i="87"/>
  <c r="L33" i="87"/>
  <c r="F33" i="87"/>
  <c r="B33" i="87"/>
  <c r="Z32" i="87"/>
  <c r="X32" i="87"/>
  <c r="V32" i="87"/>
  <c r="N32" i="87"/>
  <c r="L32" i="87"/>
  <c r="J32" i="87"/>
  <c r="B32" i="87"/>
  <c r="X31" i="87"/>
  <c r="Z31" i="87" s="1"/>
  <c r="L31" i="87"/>
  <c r="N31" i="87" s="1"/>
  <c r="B31" i="87"/>
  <c r="Z30" i="87"/>
  <c r="X30" i="87"/>
  <c r="N30" i="87"/>
  <c r="L30" i="87"/>
  <c r="F30" i="87"/>
  <c r="B30" i="87"/>
  <c r="T29" i="87"/>
  <c r="P29" i="87"/>
  <c r="X29" i="87" s="1"/>
  <c r="N29" i="87"/>
  <c r="L29" i="87"/>
  <c r="H29" i="87"/>
  <c r="D29" i="87"/>
  <c r="B29" i="87"/>
  <c r="Z28" i="87"/>
  <c r="X28" i="87"/>
  <c r="V28" i="87"/>
  <c r="N28" i="87"/>
  <c r="L28" i="87"/>
  <c r="J28" i="87"/>
  <c r="B28" i="87"/>
  <c r="X27" i="87"/>
  <c r="Z27" i="87" s="1"/>
  <c r="L27" i="87"/>
  <c r="N27" i="87" s="1"/>
  <c r="B27" i="87"/>
  <c r="Z26" i="87"/>
  <c r="X26" i="87"/>
  <c r="N26" i="87"/>
  <c r="L26" i="87"/>
  <c r="F26" i="87"/>
  <c r="B26" i="87"/>
  <c r="Z25" i="87"/>
  <c r="X25" i="87"/>
  <c r="R25" i="87"/>
  <c r="N25" i="87"/>
  <c r="L25" i="87"/>
  <c r="J25" i="87"/>
  <c r="F25" i="87"/>
  <c r="B25" i="87"/>
  <c r="X24" i="87"/>
  <c r="Z24" i="87" s="1"/>
  <c r="V24" i="87"/>
  <c r="L24" i="87"/>
  <c r="N24" i="87" s="1"/>
  <c r="J24" i="87"/>
  <c r="B24" i="87"/>
  <c r="X23" i="87"/>
  <c r="Z23" i="87" s="1"/>
  <c r="V23" i="87"/>
  <c r="N23" i="87"/>
  <c r="L23" i="87"/>
  <c r="B23" i="87"/>
  <c r="Z22" i="87"/>
  <c r="X22" i="87"/>
  <c r="R22" i="87"/>
  <c r="N22" i="87"/>
  <c r="L22" i="87"/>
  <c r="B22" i="87"/>
  <c r="Z21" i="87"/>
  <c r="X21" i="87"/>
  <c r="V21" i="87"/>
  <c r="R21" i="87"/>
  <c r="N21" i="87"/>
  <c r="L21" i="87"/>
  <c r="F21" i="87"/>
  <c r="B21" i="87"/>
  <c r="X20" i="87"/>
  <c r="Z20" i="87" s="1"/>
  <c r="V20" i="87"/>
  <c r="L20" i="87"/>
  <c r="N20" i="87" s="1"/>
  <c r="J20" i="87"/>
  <c r="F20" i="87"/>
  <c r="B20" i="87"/>
  <c r="X19" i="87"/>
  <c r="Z19" i="87" s="1"/>
  <c r="T19" i="87"/>
  <c r="P19" i="87"/>
  <c r="J19" i="87"/>
  <c r="H19" i="87"/>
  <c r="D19" i="87"/>
  <c r="L19" i="87" s="1"/>
  <c r="B19" i="87"/>
  <c r="T18" i="87" a="1"/>
  <c r="T18" i="87" s="1"/>
  <c r="P18" i="87" a="1"/>
  <c r="P18" i="87" s="1"/>
  <c r="H18" i="87" a="1"/>
  <c r="H18" i="87"/>
  <c r="D18" i="87" a="1"/>
  <c r="D18" i="87" s="1"/>
  <c r="T16" i="87"/>
  <c r="J16" i="87"/>
  <c r="D16" i="87"/>
  <c r="Z14" i="87"/>
  <c r="V14" i="87"/>
  <c r="T14" i="87"/>
  <c r="R14" i="87"/>
  <c r="P14" i="87"/>
  <c r="X14" i="87" s="1"/>
  <c r="N14" i="87"/>
  <c r="L14" i="87"/>
  <c r="J14" i="87"/>
  <c r="H14" i="87"/>
  <c r="F14" i="87"/>
  <c r="D14" i="87"/>
  <c r="Z12" i="87"/>
  <c r="T12" i="87"/>
  <c r="V63" i="87" s="1"/>
  <c r="P12" i="87"/>
  <c r="R59" i="87" s="1"/>
  <c r="N12" i="87"/>
  <c r="H12" i="87"/>
  <c r="J61" i="87" s="1"/>
  <c r="D12" i="87"/>
  <c r="F63" i="87" s="1"/>
  <c r="D6" i="87"/>
  <c r="D4" i="87"/>
  <c r="V43" i="86"/>
  <c r="V40" i="86"/>
  <c r="Z38" i="86"/>
  <c r="X38" i="86"/>
  <c r="V38" i="86"/>
  <c r="N38" i="86"/>
  <c r="L38" i="86"/>
  <c r="Z34" i="86"/>
  <c r="V34" i="86"/>
  <c r="T34" i="86"/>
  <c r="P34" i="86"/>
  <c r="X34" i="86" s="1"/>
  <c r="N34" i="86"/>
  <c r="H34" i="86"/>
  <c r="D34" i="86"/>
  <c r="L34" i="86" s="1"/>
  <c r="Z32" i="86"/>
  <c r="X32" i="86"/>
  <c r="N32" i="86"/>
  <c r="L32" i="86"/>
  <c r="B32" i="86"/>
  <c r="Z31" i="86"/>
  <c r="T31" i="86"/>
  <c r="P31" i="86"/>
  <c r="X31" i="86" s="1"/>
  <c r="N31" i="86"/>
  <c r="H31" i="86"/>
  <c r="D31" i="86"/>
  <c r="B31" i="86"/>
  <c r="Z30" i="86"/>
  <c r="X30" i="86"/>
  <c r="N30" i="86"/>
  <c r="L30" i="86"/>
  <c r="B30" i="86"/>
  <c r="Z29" i="86"/>
  <c r="T29" i="86"/>
  <c r="P29" i="86"/>
  <c r="X29" i="86" s="1"/>
  <c r="L29" i="86"/>
  <c r="H29" i="86"/>
  <c r="N29" i="86" s="1"/>
  <c r="D29" i="86"/>
  <c r="B29" i="86"/>
  <c r="Z28" i="86"/>
  <c r="X28" i="86"/>
  <c r="V28" i="86"/>
  <c r="N28" i="86"/>
  <c r="L28" i="86"/>
  <c r="B28" i="86"/>
  <c r="V27" i="86"/>
  <c r="T27" i="86"/>
  <c r="Z27" i="86" s="1"/>
  <c r="P27" i="86"/>
  <c r="X27" i="86" s="1"/>
  <c r="H27" i="86"/>
  <c r="D27" i="86"/>
  <c r="B27" i="86"/>
  <c r="Z26" i="86"/>
  <c r="X26" i="86"/>
  <c r="V26" i="86"/>
  <c r="N26" i="86"/>
  <c r="L26" i="86"/>
  <c r="B26" i="86"/>
  <c r="T25" i="86"/>
  <c r="Z25" i="86" s="1"/>
  <c r="P25" i="86"/>
  <c r="N25" i="86"/>
  <c r="H25" i="86"/>
  <c r="D25" i="86"/>
  <c r="L25" i="86" s="1"/>
  <c r="B25" i="86"/>
  <c r="X24" i="86"/>
  <c r="Z24" i="86" s="1"/>
  <c r="N24" i="86"/>
  <c r="L24" i="86"/>
  <c r="F24" i="86"/>
  <c r="B24" i="86"/>
  <c r="Z23" i="86"/>
  <c r="X23" i="86"/>
  <c r="T23" i="86"/>
  <c r="P23" i="86"/>
  <c r="J23" i="86"/>
  <c r="H23" i="86"/>
  <c r="D23" i="86"/>
  <c r="L23" i="86" s="1"/>
  <c r="N23" i="86" s="1"/>
  <c r="B23" i="86"/>
  <c r="Z22" i="86"/>
  <c r="X22" i="86"/>
  <c r="V22" i="86"/>
  <c r="N22" i="86"/>
  <c r="L22" i="86"/>
  <c r="B22" i="86"/>
  <c r="V21" i="86"/>
  <c r="T21" i="86"/>
  <c r="Z21" i="86" s="1"/>
  <c r="P21" i="86"/>
  <c r="X21" i="86" s="1"/>
  <c r="H21" i="86"/>
  <c r="N21" i="86" s="1"/>
  <c r="D21" i="86"/>
  <c r="B21" i="86"/>
  <c r="T20" i="86" a="1"/>
  <c r="T20" i="86"/>
  <c r="P20" i="86" a="1"/>
  <c r="P20" i="86" s="1"/>
  <c r="X20" i="86" s="1"/>
  <c r="H20" i="86" a="1"/>
  <c r="H20" i="86" s="1"/>
  <c r="D20" i="86" a="1"/>
  <c r="D20" i="86" s="1"/>
  <c r="Z16" i="86"/>
  <c r="X16" i="86"/>
  <c r="V16" i="86"/>
  <c r="N16" i="86"/>
  <c r="L16" i="86"/>
  <c r="B16" i="86"/>
  <c r="T15" i="86"/>
  <c r="P15" i="86"/>
  <c r="N15" i="86"/>
  <c r="L15" i="86"/>
  <c r="H15" i="86"/>
  <c r="D15" i="86"/>
  <c r="Z13" i="86"/>
  <c r="P13" i="86"/>
  <c r="N13" i="86"/>
  <c r="L13" i="86"/>
  <c r="D13" i="86"/>
  <c r="D12" i="86" s="1"/>
  <c r="F16" i="86" s="1"/>
  <c r="B13" i="86"/>
  <c r="Z12" i="86"/>
  <c r="T12" i="86"/>
  <c r="H12" i="86"/>
  <c r="D6" i="86"/>
  <c r="D4" i="86"/>
  <c r="R35" i="85"/>
  <c r="F35" i="85"/>
  <c r="J32" i="85"/>
  <c r="F32" i="85"/>
  <c r="Z30" i="85"/>
  <c r="X30" i="85"/>
  <c r="R30" i="85"/>
  <c r="N30" i="85"/>
  <c r="L30" i="85"/>
  <c r="J30" i="85"/>
  <c r="R28" i="85"/>
  <c r="H28" i="85"/>
  <c r="Z26" i="85"/>
  <c r="T26" i="85"/>
  <c r="P26" i="85"/>
  <c r="X26" i="85" s="1"/>
  <c r="N26" i="85"/>
  <c r="L26" i="85"/>
  <c r="J26" i="85"/>
  <c r="H26" i="85"/>
  <c r="F26" i="85"/>
  <c r="D26" i="85"/>
  <c r="Z24" i="85"/>
  <c r="X24" i="85"/>
  <c r="R24" i="85"/>
  <c r="N24" i="85"/>
  <c r="L24" i="85"/>
  <c r="J24" i="85"/>
  <c r="B24" i="85"/>
  <c r="T23" i="85"/>
  <c r="P23" i="85"/>
  <c r="J23" i="85"/>
  <c r="H23" i="85"/>
  <c r="N23" i="85" s="1"/>
  <c r="D23" i="85"/>
  <c r="B23" i="85"/>
  <c r="Z22" i="85"/>
  <c r="X22" i="85"/>
  <c r="R22" i="85"/>
  <c r="N22" i="85"/>
  <c r="L22" i="85"/>
  <c r="J22" i="85"/>
  <c r="B22" i="85"/>
  <c r="T21" i="85"/>
  <c r="Z21" i="85" s="1"/>
  <c r="R21" i="85"/>
  <c r="P21" i="85"/>
  <c r="N21" i="85"/>
  <c r="L21" i="85"/>
  <c r="H21" i="85"/>
  <c r="F21" i="85"/>
  <c r="D21" i="85"/>
  <c r="B21" i="85"/>
  <c r="Z20" i="85"/>
  <c r="X20" i="85"/>
  <c r="L20" i="85"/>
  <c r="N20" i="85" s="1"/>
  <c r="J20" i="85"/>
  <c r="F20" i="85"/>
  <c r="B20" i="85"/>
  <c r="T19" i="85"/>
  <c r="R19" i="85"/>
  <c r="P19" i="85"/>
  <c r="X19" i="85" s="1"/>
  <c r="Z19" i="85" s="1"/>
  <c r="H19" i="85"/>
  <c r="L19" i="85" s="1"/>
  <c r="N19" i="85" s="1"/>
  <c r="D19" i="85"/>
  <c r="B19" i="85"/>
  <c r="Z18" i="85"/>
  <c r="T18" i="85" a="1"/>
  <c r="T18" i="85"/>
  <c r="P18" i="85" a="1"/>
  <c r="P18" i="85"/>
  <c r="X18" i="85" s="1"/>
  <c r="L18" i="85"/>
  <c r="J18" i="85"/>
  <c r="H18" i="85" a="1"/>
  <c r="H18" i="85"/>
  <c r="D18" i="85" a="1"/>
  <c r="D18" i="85"/>
  <c r="R16" i="85"/>
  <c r="J16" i="85"/>
  <c r="H16" i="85"/>
  <c r="N16" i="85" s="1"/>
  <c r="F16" i="85"/>
  <c r="Z14" i="85"/>
  <c r="T14" i="85"/>
  <c r="R14" i="85"/>
  <c r="P14" i="85"/>
  <c r="N14" i="85"/>
  <c r="J14" i="85"/>
  <c r="H14" i="85"/>
  <c r="D14" i="85"/>
  <c r="L14" i="85" s="1"/>
  <c r="T12" i="85"/>
  <c r="V16" i="85" s="1"/>
  <c r="P12" i="85"/>
  <c r="R23" i="85" s="1"/>
  <c r="N12" i="85"/>
  <c r="H12" i="85"/>
  <c r="J19" i="85" s="1"/>
  <c r="D12" i="85"/>
  <c r="F28" i="85" s="1"/>
  <c r="D6" i="85"/>
  <c r="D4" i="85"/>
  <c r="J60" i="84"/>
  <c r="F60" i="84"/>
  <c r="F57" i="84"/>
  <c r="Z55" i="84"/>
  <c r="X55" i="84"/>
  <c r="N55" i="84"/>
  <c r="L55" i="84"/>
  <c r="J55" i="84"/>
  <c r="F55" i="84"/>
  <c r="J53" i="84"/>
  <c r="F53" i="84"/>
  <c r="P51" i="84"/>
  <c r="X51" i="84" s="1"/>
  <c r="Z51" i="84" s="1"/>
  <c r="L51" i="84"/>
  <c r="N51" i="84" s="1"/>
  <c r="D51" i="84"/>
  <c r="B51" i="84"/>
  <c r="Z50" i="84"/>
  <c r="X50" i="84"/>
  <c r="P50" i="84"/>
  <c r="J50" i="84"/>
  <c r="F50" i="84"/>
  <c r="D50" i="84"/>
  <c r="B50" i="84"/>
  <c r="P49" i="84"/>
  <c r="X49" i="84" s="1"/>
  <c r="Z49" i="84" s="1"/>
  <c r="N49" i="84"/>
  <c r="L49" i="84"/>
  <c r="F49" i="84"/>
  <c r="D49" i="84"/>
  <c r="B49" i="84"/>
  <c r="T48" i="84"/>
  <c r="Z48" i="84" s="1"/>
  <c r="P48" i="84"/>
  <c r="X48" i="84" s="1"/>
  <c r="J48" i="84"/>
  <c r="H48" i="84"/>
  <c r="F48" i="84"/>
  <c r="Z46" i="84"/>
  <c r="X46" i="84"/>
  <c r="N46" i="84"/>
  <c r="L46" i="84"/>
  <c r="J46" i="84"/>
  <c r="F46" i="84"/>
  <c r="B46" i="84"/>
  <c r="T45" i="84"/>
  <c r="Z45" i="84" s="1"/>
  <c r="P45" i="84"/>
  <c r="X45" i="84" s="1"/>
  <c r="N45" i="84"/>
  <c r="J45" i="84"/>
  <c r="H45" i="84"/>
  <c r="D45" i="84"/>
  <c r="L45" i="84" s="1"/>
  <c r="B45" i="84"/>
  <c r="Z44" i="84"/>
  <c r="X44" i="84"/>
  <c r="N44" i="84"/>
  <c r="L44" i="84"/>
  <c r="J44" i="84"/>
  <c r="F44" i="84"/>
  <c r="B44" i="84"/>
  <c r="Z43" i="84"/>
  <c r="T43" i="84"/>
  <c r="P43" i="84"/>
  <c r="X43" i="84" s="1"/>
  <c r="N43" i="84"/>
  <c r="L43" i="84"/>
  <c r="J43" i="84"/>
  <c r="H43" i="84"/>
  <c r="F43" i="84"/>
  <c r="D43" i="84"/>
  <c r="B43" i="84"/>
  <c r="Z42" i="84"/>
  <c r="X42" i="84"/>
  <c r="R42" i="84"/>
  <c r="N42" i="84"/>
  <c r="L42" i="84"/>
  <c r="B42" i="84"/>
  <c r="Z41" i="84"/>
  <c r="X41" i="84"/>
  <c r="T41" i="84"/>
  <c r="R41" i="84"/>
  <c r="P41" i="84"/>
  <c r="J41" i="84"/>
  <c r="H41" i="84"/>
  <c r="N41" i="84" s="1"/>
  <c r="F41" i="84"/>
  <c r="D41" i="84"/>
  <c r="B41" i="84"/>
  <c r="Z40" i="84"/>
  <c r="X40" i="84"/>
  <c r="R40" i="84"/>
  <c r="N40" i="84"/>
  <c r="L40" i="84"/>
  <c r="F40" i="84"/>
  <c r="B40" i="84"/>
  <c r="X39" i="84"/>
  <c r="T39" i="84"/>
  <c r="Z39" i="84" s="1"/>
  <c r="R39" i="84"/>
  <c r="P39" i="84"/>
  <c r="N39" i="84"/>
  <c r="H39" i="84"/>
  <c r="F39" i="84"/>
  <c r="D39" i="84"/>
  <c r="L39" i="84" s="1"/>
  <c r="B39" i="84"/>
  <c r="Z38" i="84"/>
  <c r="X38" i="84"/>
  <c r="N38" i="84"/>
  <c r="L38" i="84"/>
  <c r="J38" i="84"/>
  <c r="F38" i="84"/>
  <c r="B38" i="84"/>
  <c r="Z37" i="84"/>
  <c r="X37" i="84"/>
  <c r="R37" i="84"/>
  <c r="N37" i="84"/>
  <c r="L37" i="84"/>
  <c r="J37" i="84"/>
  <c r="B37" i="84"/>
  <c r="Z36" i="84"/>
  <c r="X36" i="84"/>
  <c r="R36" i="84"/>
  <c r="N36" i="84"/>
  <c r="L36" i="84"/>
  <c r="F36" i="84"/>
  <c r="B36" i="84"/>
  <c r="Z35" i="84"/>
  <c r="X35" i="84"/>
  <c r="R35" i="84"/>
  <c r="N35" i="84"/>
  <c r="L35" i="84"/>
  <c r="J35" i="84"/>
  <c r="B35" i="84"/>
  <c r="Z34" i="84"/>
  <c r="X34" i="84"/>
  <c r="R34" i="84"/>
  <c r="N34" i="84"/>
  <c r="L34" i="84"/>
  <c r="B34" i="84"/>
  <c r="Z33" i="84"/>
  <c r="X33" i="84"/>
  <c r="N33" i="84"/>
  <c r="L33" i="84"/>
  <c r="F33" i="84"/>
  <c r="B33" i="84"/>
  <c r="Z32" i="84"/>
  <c r="X32" i="84"/>
  <c r="R32" i="84"/>
  <c r="N32" i="84"/>
  <c r="L32" i="84"/>
  <c r="J32" i="84"/>
  <c r="F32" i="84"/>
  <c r="B32" i="84"/>
  <c r="Z31" i="84"/>
  <c r="X31" i="84"/>
  <c r="N31" i="84"/>
  <c r="L31" i="84"/>
  <c r="J31" i="84"/>
  <c r="F31" i="84"/>
  <c r="B31" i="84"/>
  <c r="Z30" i="84"/>
  <c r="X30" i="84"/>
  <c r="N30" i="84"/>
  <c r="L30" i="84"/>
  <c r="J30" i="84"/>
  <c r="F30" i="84"/>
  <c r="B30" i="84"/>
  <c r="Z29" i="84"/>
  <c r="X29" i="84"/>
  <c r="R29" i="84"/>
  <c r="N29" i="84"/>
  <c r="L29" i="84"/>
  <c r="J29" i="84"/>
  <c r="B29" i="84"/>
  <c r="T28" i="84"/>
  <c r="Z28" i="84" s="1"/>
  <c r="P28" i="84"/>
  <c r="X28" i="84" s="1"/>
  <c r="N28" i="84"/>
  <c r="H28" i="84"/>
  <c r="F28" i="84"/>
  <c r="D28" i="84"/>
  <c r="L28" i="84" s="1"/>
  <c r="B28" i="84"/>
  <c r="Z27" i="84"/>
  <c r="X27" i="84"/>
  <c r="N27" i="84"/>
  <c r="L27" i="84"/>
  <c r="J27" i="84"/>
  <c r="F27" i="84"/>
  <c r="B27" i="84"/>
  <c r="Z26" i="84"/>
  <c r="X26" i="84"/>
  <c r="N26" i="84"/>
  <c r="L26" i="84"/>
  <c r="J26" i="84"/>
  <c r="F26" i="84"/>
  <c r="B26" i="84"/>
  <c r="Z25" i="84"/>
  <c r="X25" i="84"/>
  <c r="R25" i="84"/>
  <c r="N25" i="84"/>
  <c r="L25" i="84"/>
  <c r="J25" i="84"/>
  <c r="B25" i="84"/>
  <c r="Z24" i="84"/>
  <c r="X24" i="84"/>
  <c r="R24" i="84"/>
  <c r="N24" i="84"/>
  <c r="L24" i="84"/>
  <c r="F24" i="84"/>
  <c r="B24" i="84"/>
  <c r="Z23" i="84"/>
  <c r="X23" i="84"/>
  <c r="R23" i="84"/>
  <c r="N23" i="84"/>
  <c r="L23" i="84"/>
  <c r="J23" i="84"/>
  <c r="B23" i="84"/>
  <c r="Z22" i="84"/>
  <c r="X22" i="84"/>
  <c r="R22" i="84"/>
  <c r="N22" i="84"/>
  <c r="L22" i="84"/>
  <c r="B22" i="84"/>
  <c r="Z21" i="84"/>
  <c r="X21" i="84"/>
  <c r="N21" i="84"/>
  <c r="L21" i="84"/>
  <c r="F21" i="84"/>
  <c r="B21" i="84"/>
  <c r="Z20" i="84"/>
  <c r="X20" i="84"/>
  <c r="R20" i="84"/>
  <c r="N20" i="84"/>
  <c r="L20" i="84"/>
  <c r="J20" i="84"/>
  <c r="F20" i="84"/>
  <c r="B20" i="84"/>
  <c r="Z19" i="84"/>
  <c r="T19" i="84"/>
  <c r="P19" i="84"/>
  <c r="X19" i="84" s="1"/>
  <c r="N19" i="84"/>
  <c r="L19" i="84"/>
  <c r="J19" i="84"/>
  <c r="H19" i="84"/>
  <c r="F19" i="84"/>
  <c r="D19" i="84"/>
  <c r="B19" i="84"/>
  <c r="Z18" i="84"/>
  <c r="T18" i="84" a="1"/>
  <c r="T18" i="84" s="1"/>
  <c r="P18" i="84" a="1"/>
  <c r="P18" i="84" s="1"/>
  <c r="X18" i="84" s="1"/>
  <c r="N18" i="84"/>
  <c r="J18" i="84"/>
  <c r="H18" i="84" a="1"/>
  <c r="H18" i="84" s="1"/>
  <c r="F18" i="84"/>
  <c r="D18" i="84" a="1"/>
  <c r="D18" i="84" s="1"/>
  <c r="L18" i="84" s="1"/>
  <c r="J16" i="84"/>
  <c r="H16" i="84"/>
  <c r="F16" i="84"/>
  <c r="D16" i="84"/>
  <c r="T14" i="84"/>
  <c r="Z14" i="84" s="1"/>
  <c r="R14" i="84"/>
  <c r="P14" i="84"/>
  <c r="X14" i="84" s="1"/>
  <c r="L14" i="84"/>
  <c r="H14" i="84"/>
  <c r="N14" i="84" s="1"/>
  <c r="F14" i="84"/>
  <c r="D14" i="84"/>
  <c r="T12" i="84"/>
  <c r="P12" i="84"/>
  <c r="L12" i="84"/>
  <c r="H12" i="84"/>
  <c r="J49" i="84" s="1"/>
  <c r="D12" i="84"/>
  <c r="F37" i="84" s="1"/>
  <c r="D6" i="84"/>
  <c r="D4" i="84"/>
  <c r="Z90" i="83"/>
  <c r="X90" i="83"/>
  <c r="N90" i="83"/>
  <c r="L90" i="83"/>
  <c r="Z86" i="83"/>
  <c r="P86" i="83"/>
  <c r="N86" i="83"/>
  <c r="J86" i="83"/>
  <c r="D86" i="83"/>
  <c r="L86" i="83" s="1"/>
  <c r="B86" i="83"/>
  <c r="Z85" i="83"/>
  <c r="T85" i="83"/>
  <c r="L85" i="83"/>
  <c r="H85" i="83"/>
  <c r="N85" i="83" s="1"/>
  <c r="D85" i="83"/>
  <c r="X83" i="83"/>
  <c r="Z83" i="83" s="1"/>
  <c r="N83" i="83"/>
  <c r="L83" i="83"/>
  <c r="B83" i="83"/>
  <c r="T82" i="83"/>
  <c r="P82" i="83"/>
  <c r="X82" i="83" s="1"/>
  <c r="L82" i="83"/>
  <c r="H82" i="83"/>
  <c r="D82" i="83"/>
  <c r="B82" i="83"/>
  <c r="Z81" i="83"/>
  <c r="X81" i="83"/>
  <c r="N81" i="83"/>
  <c r="L81" i="83"/>
  <c r="F81" i="83"/>
  <c r="B81" i="83"/>
  <c r="X80" i="83"/>
  <c r="Z80" i="83" s="1"/>
  <c r="T80" i="83"/>
  <c r="P80" i="83"/>
  <c r="N80" i="83"/>
  <c r="L80" i="83"/>
  <c r="H80" i="83"/>
  <c r="F80" i="83"/>
  <c r="D80" i="83"/>
  <c r="B80" i="83"/>
  <c r="X79" i="83"/>
  <c r="Z79" i="83" s="1"/>
  <c r="N79" i="83"/>
  <c r="L79" i="83"/>
  <c r="B79" i="83"/>
  <c r="X78" i="83"/>
  <c r="Z78" i="83" s="1"/>
  <c r="N78" i="83"/>
  <c r="L78" i="83"/>
  <c r="B78" i="83"/>
  <c r="T77" i="83"/>
  <c r="P77" i="83"/>
  <c r="X77" i="83" s="1"/>
  <c r="Z77" i="83" s="1"/>
  <c r="J77" i="83"/>
  <c r="H77" i="83"/>
  <c r="D77" i="83"/>
  <c r="L77" i="83" s="1"/>
  <c r="B77" i="83"/>
  <c r="Z76" i="83"/>
  <c r="X76" i="83"/>
  <c r="N76" i="83"/>
  <c r="L76" i="83"/>
  <c r="B76" i="83"/>
  <c r="X75" i="83"/>
  <c r="Z75" i="83" s="1"/>
  <c r="N75" i="83"/>
  <c r="L75" i="83"/>
  <c r="J75" i="83"/>
  <c r="B75" i="83"/>
  <c r="X74" i="83"/>
  <c r="Z74" i="83" s="1"/>
  <c r="N74" i="83"/>
  <c r="L74" i="83"/>
  <c r="B74" i="83"/>
  <c r="Z73" i="83"/>
  <c r="X73" i="83"/>
  <c r="V73" i="83"/>
  <c r="N73" i="83"/>
  <c r="L73" i="83"/>
  <c r="B73" i="83"/>
  <c r="X72" i="83"/>
  <c r="Z72" i="83" s="1"/>
  <c r="N72" i="83"/>
  <c r="L72" i="83"/>
  <c r="B72" i="83"/>
  <c r="Z71" i="83"/>
  <c r="X71" i="83"/>
  <c r="N71" i="83"/>
  <c r="L71" i="83"/>
  <c r="J71" i="83"/>
  <c r="B71" i="83"/>
  <c r="X70" i="83"/>
  <c r="Z70" i="83" s="1"/>
  <c r="L70" i="83"/>
  <c r="N70" i="83" s="1"/>
  <c r="F70" i="83"/>
  <c r="B70" i="83"/>
  <c r="X69" i="83"/>
  <c r="Z69" i="83" s="1"/>
  <c r="N69" i="83"/>
  <c r="L69" i="83"/>
  <c r="J69" i="83"/>
  <c r="B69" i="83"/>
  <c r="Z68" i="83"/>
  <c r="T68" i="83"/>
  <c r="P68" i="83"/>
  <c r="X68" i="83" s="1"/>
  <c r="L68" i="83"/>
  <c r="N68" i="83" s="1"/>
  <c r="J68" i="83"/>
  <c r="H68" i="83"/>
  <c r="D68" i="83"/>
  <c r="B68" i="83"/>
  <c r="Z67" i="83"/>
  <c r="X67" i="83"/>
  <c r="L67" i="83"/>
  <c r="N67" i="83" s="1"/>
  <c r="J67" i="83"/>
  <c r="B67" i="83"/>
  <c r="X66" i="83"/>
  <c r="Z66" i="83" s="1"/>
  <c r="T66" i="83"/>
  <c r="P66" i="83"/>
  <c r="H66" i="83"/>
  <c r="F66" i="83"/>
  <c r="D66" i="83"/>
  <c r="B66" i="83"/>
  <c r="Z65" i="83"/>
  <c r="X65" i="83"/>
  <c r="L65" i="83"/>
  <c r="N65" i="83" s="1"/>
  <c r="B65" i="83"/>
  <c r="X64" i="83"/>
  <c r="Z64" i="83" s="1"/>
  <c r="N64" i="83"/>
  <c r="L64" i="83"/>
  <c r="B64" i="83"/>
  <c r="Z63" i="83"/>
  <c r="X63" i="83"/>
  <c r="N63" i="83"/>
  <c r="L63" i="83"/>
  <c r="J63" i="83"/>
  <c r="B63" i="83"/>
  <c r="X62" i="83"/>
  <c r="Z62" i="83" s="1"/>
  <c r="V62" i="83"/>
  <c r="L62" i="83"/>
  <c r="N62" i="83" s="1"/>
  <c r="B62" i="83"/>
  <c r="X61" i="83"/>
  <c r="Z61" i="83" s="1"/>
  <c r="T61" i="83"/>
  <c r="P61" i="83"/>
  <c r="N61" i="83"/>
  <c r="J61" i="83"/>
  <c r="H61" i="83"/>
  <c r="L61" i="83" s="1"/>
  <c r="D61" i="83"/>
  <c r="B61" i="83"/>
  <c r="X60" i="83"/>
  <c r="Z60" i="83" s="1"/>
  <c r="N60" i="83"/>
  <c r="L60" i="83"/>
  <c r="B60" i="83"/>
  <c r="Z59" i="83"/>
  <c r="X59" i="83"/>
  <c r="N59" i="83"/>
  <c r="L59" i="83"/>
  <c r="J59" i="83"/>
  <c r="B59" i="83"/>
  <c r="X58" i="83"/>
  <c r="Z58" i="83" s="1"/>
  <c r="T58" i="83"/>
  <c r="P58" i="83"/>
  <c r="H58" i="83"/>
  <c r="F58" i="83"/>
  <c r="D58" i="83"/>
  <c r="B58" i="83"/>
  <c r="Z57" i="83"/>
  <c r="X57" i="83"/>
  <c r="N57" i="83"/>
  <c r="L57" i="83"/>
  <c r="B57" i="83"/>
  <c r="X56" i="83"/>
  <c r="Z56" i="83" s="1"/>
  <c r="N56" i="83"/>
  <c r="L56" i="83"/>
  <c r="B56" i="83"/>
  <c r="T55" i="83"/>
  <c r="P55" i="83"/>
  <c r="N55" i="83"/>
  <c r="J55" i="83"/>
  <c r="H55" i="83"/>
  <c r="F55" i="83"/>
  <c r="D55" i="83"/>
  <c r="L55" i="83" s="1"/>
  <c r="B55" i="83"/>
  <c r="X54" i="83"/>
  <c r="Z54" i="83" s="1"/>
  <c r="L54" i="83"/>
  <c r="N54" i="83" s="1"/>
  <c r="J54" i="83"/>
  <c r="B54" i="83"/>
  <c r="V53" i="83"/>
  <c r="T53" i="83"/>
  <c r="P53" i="83"/>
  <c r="X53" i="83" s="1"/>
  <c r="Z53" i="83" s="1"/>
  <c r="J53" i="83"/>
  <c r="H53" i="83"/>
  <c r="D53" i="83"/>
  <c r="L53" i="83" s="1"/>
  <c r="B53" i="83"/>
  <c r="Z52" i="83"/>
  <c r="X52" i="83"/>
  <c r="N52" i="83"/>
  <c r="L52" i="83"/>
  <c r="B52" i="83"/>
  <c r="T51" i="83"/>
  <c r="Z51" i="83" s="1"/>
  <c r="P51" i="83"/>
  <c r="X51" i="83" s="1"/>
  <c r="N51" i="83"/>
  <c r="L51" i="83"/>
  <c r="H51" i="83"/>
  <c r="D51" i="83"/>
  <c r="B51" i="83"/>
  <c r="X50" i="83"/>
  <c r="Z50" i="83" s="1"/>
  <c r="L50" i="83"/>
  <c r="N50" i="83" s="1"/>
  <c r="B50" i="83"/>
  <c r="Z49" i="83"/>
  <c r="X49" i="83"/>
  <c r="N49" i="83"/>
  <c r="L49" i="83"/>
  <c r="J49" i="83"/>
  <c r="B49" i="83"/>
  <c r="T48" i="83"/>
  <c r="P48" i="83"/>
  <c r="X48" i="83" s="1"/>
  <c r="Z48" i="83" s="1"/>
  <c r="L48" i="83"/>
  <c r="N48" i="83" s="1"/>
  <c r="J48" i="83"/>
  <c r="H48" i="83"/>
  <c r="D48" i="83"/>
  <c r="B48" i="83"/>
  <c r="Z47" i="83"/>
  <c r="X47" i="83"/>
  <c r="V47" i="83"/>
  <c r="L47" i="83"/>
  <c r="N47" i="83" s="1"/>
  <c r="J47" i="83"/>
  <c r="B47" i="83"/>
  <c r="X46" i="83"/>
  <c r="Z46" i="83" s="1"/>
  <c r="T46" i="83"/>
  <c r="P46" i="83"/>
  <c r="H46" i="83"/>
  <c r="F46" i="83"/>
  <c r="D46" i="83"/>
  <c r="B46" i="83"/>
  <c r="Z45" i="83"/>
  <c r="X45" i="83"/>
  <c r="V45" i="83"/>
  <c r="N45" i="83"/>
  <c r="L45" i="83"/>
  <c r="B45" i="83"/>
  <c r="X44" i="83"/>
  <c r="T44" i="83"/>
  <c r="Z44" i="83" s="1"/>
  <c r="P44" i="83"/>
  <c r="H44" i="83"/>
  <c r="N44" i="83" s="1"/>
  <c r="D44" i="83"/>
  <c r="B44" i="83"/>
  <c r="Z43" i="83"/>
  <c r="X43" i="83"/>
  <c r="N43" i="83"/>
  <c r="L43" i="83"/>
  <c r="J43" i="83"/>
  <c r="F43" i="83"/>
  <c r="B43" i="83"/>
  <c r="Z42" i="83"/>
  <c r="X42" i="83"/>
  <c r="R42" i="83"/>
  <c r="N42" i="83"/>
  <c r="L42" i="83"/>
  <c r="J42" i="83"/>
  <c r="B42" i="83"/>
  <c r="Z41" i="83"/>
  <c r="X41" i="83"/>
  <c r="N41" i="83"/>
  <c r="L41" i="83"/>
  <c r="B41" i="83"/>
  <c r="X40" i="83"/>
  <c r="Z40" i="83" s="1"/>
  <c r="N40" i="83"/>
  <c r="L40" i="83"/>
  <c r="B40" i="83"/>
  <c r="Z39" i="83"/>
  <c r="X39" i="83"/>
  <c r="R39" i="83"/>
  <c r="N39" i="83"/>
  <c r="L39" i="83"/>
  <c r="J39" i="83"/>
  <c r="B39" i="83"/>
  <c r="X38" i="83"/>
  <c r="Z38" i="83" s="1"/>
  <c r="L38" i="83"/>
  <c r="N38" i="83" s="1"/>
  <c r="F38" i="83"/>
  <c r="B38" i="83"/>
  <c r="X37" i="83"/>
  <c r="Z37" i="83" s="1"/>
  <c r="N37" i="83"/>
  <c r="L37" i="83"/>
  <c r="J37" i="83"/>
  <c r="B37" i="83"/>
  <c r="Z36" i="83"/>
  <c r="X36" i="83"/>
  <c r="N36" i="83"/>
  <c r="L36" i="83"/>
  <c r="F36" i="83"/>
  <c r="B36" i="83"/>
  <c r="Z35" i="83"/>
  <c r="X35" i="83"/>
  <c r="N35" i="83"/>
  <c r="L35" i="83"/>
  <c r="J35" i="83"/>
  <c r="B35" i="83"/>
  <c r="Z34" i="83"/>
  <c r="X34" i="83"/>
  <c r="N34" i="83"/>
  <c r="L34" i="83"/>
  <c r="J34" i="83"/>
  <c r="B34" i="83"/>
  <c r="T33" i="83"/>
  <c r="P33" i="83"/>
  <c r="X33" i="83" s="1"/>
  <c r="Z33" i="83" s="1"/>
  <c r="J33" i="83"/>
  <c r="H33" i="83"/>
  <c r="N33" i="83" s="1"/>
  <c r="D33" i="83"/>
  <c r="L33" i="83" s="1"/>
  <c r="B33" i="83"/>
  <c r="Z32" i="83"/>
  <c r="X32" i="83"/>
  <c r="L32" i="83"/>
  <c r="N32" i="83" s="1"/>
  <c r="F32" i="83"/>
  <c r="B32" i="83"/>
  <c r="Z31" i="83"/>
  <c r="X31" i="83"/>
  <c r="N31" i="83"/>
  <c r="L31" i="83"/>
  <c r="J31" i="83"/>
  <c r="B31" i="83"/>
  <c r="X30" i="83"/>
  <c r="Z30" i="83" s="1"/>
  <c r="L30" i="83"/>
  <c r="N30" i="83" s="1"/>
  <c r="J30" i="83"/>
  <c r="B30" i="83"/>
  <c r="Z29" i="83"/>
  <c r="X29" i="83"/>
  <c r="V29" i="83"/>
  <c r="N29" i="83"/>
  <c r="L29" i="83"/>
  <c r="J29" i="83"/>
  <c r="B29" i="83"/>
  <c r="X28" i="83"/>
  <c r="Z28" i="83" s="1"/>
  <c r="L28" i="83"/>
  <c r="N28" i="83" s="1"/>
  <c r="B28" i="83"/>
  <c r="Z27" i="83"/>
  <c r="X27" i="83"/>
  <c r="N27" i="83"/>
  <c r="L27" i="83"/>
  <c r="J27" i="83"/>
  <c r="B27" i="83"/>
  <c r="X26" i="83"/>
  <c r="Z26" i="83" s="1"/>
  <c r="L26" i="83"/>
  <c r="N26" i="83" s="1"/>
  <c r="B26" i="83"/>
  <c r="X25" i="83"/>
  <c r="Z25" i="83" s="1"/>
  <c r="N25" i="83"/>
  <c r="L25" i="83"/>
  <c r="J25" i="83"/>
  <c r="B25" i="83"/>
  <c r="X24" i="83"/>
  <c r="Z24" i="83" s="1"/>
  <c r="L24" i="83"/>
  <c r="N24" i="83" s="1"/>
  <c r="B24" i="83"/>
  <c r="Z23" i="83"/>
  <c r="T23" i="83"/>
  <c r="P23" i="83"/>
  <c r="X23" i="83" s="1"/>
  <c r="N23" i="83"/>
  <c r="L23" i="83"/>
  <c r="J23" i="83"/>
  <c r="H23" i="83"/>
  <c r="D23" i="83"/>
  <c r="B23" i="83"/>
  <c r="T22" i="83" a="1"/>
  <c r="T22" i="83" s="1"/>
  <c r="P22" i="83" a="1"/>
  <c r="P22" i="83"/>
  <c r="H22" i="83" a="1"/>
  <c r="H22" i="83" s="1"/>
  <c r="D22" i="83" a="1"/>
  <c r="D22" i="83"/>
  <c r="H20" i="83"/>
  <c r="F20" i="83"/>
  <c r="Z18" i="83"/>
  <c r="X18" i="83"/>
  <c r="R18" i="83"/>
  <c r="N18" i="83"/>
  <c r="L18" i="83"/>
  <c r="J18" i="83"/>
  <c r="F18" i="83"/>
  <c r="B18" i="83"/>
  <c r="Z17" i="83"/>
  <c r="X17" i="83"/>
  <c r="V17" i="83"/>
  <c r="L17" i="83"/>
  <c r="N17" i="83" s="1"/>
  <c r="J17" i="83"/>
  <c r="B17" i="83"/>
  <c r="T16" i="83"/>
  <c r="R16" i="83"/>
  <c r="P16" i="83"/>
  <c r="X16" i="83" s="1"/>
  <c r="H16" i="83"/>
  <c r="D16" i="83"/>
  <c r="L16" i="83" s="1"/>
  <c r="X14" i="83"/>
  <c r="Z14" i="83" s="1"/>
  <c r="P14" i="83"/>
  <c r="D14" i="83"/>
  <c r="L14" i="83" s="1"/>
  <c r="N14" i="83" s="1"/>
  <c r="B14" i="83"/>
  <c r="Z13" i="83"/>
  <c r="P13" i="83"/>
  <c r="X13" i="83" s="1"/>
  <c r="L13" i="83"/>
  <c r="N13" i="83" s="1"/>
  <c r="D13" i="83"/>
  <c r="B13" i="83"/>
  <c r="T12" i="83"/>
  <c r="P12" i="83"/>
  <c r="H12" i="83"/>
  <c r="J76" i="83" s="1"/>
  <c r="D12" i="83"/>
  <c r="D6" i="83"/>
  <c r="D4" i="83"/>
  <c r="X97" i="82"/>
  <c r="Z97" i="82" s="1"/>
  <c r="L97" i="82"/>
  <c r="N97" i="82" s="1"/>
  <c r="Z93" i="82"/>
  <c r="X93" i="82"/>
  <c r="P93" i="82"/>
  <c r="P92" i="82" s="1"/>
  <c r="N93" i="82"/>
  <c r="D93" i="82"/>
  <c r="B93" i="82"/>
  <c r="Z92" i="82"/>
  <c r="X92" i="82"/>
  <c r="V92" i="82"/>
  <c r="T92" i="82"/>
  <c r="H92" i="82"/>
  <c r="N92" i="82" s="1"/>
  <c r="Z90" i="82"/>
  <c r="X90" i="82"/>
  <c r="V90" i="82"/>
  <c r="L90" i="82"/>
  <c r="N90" i="82" s="1"/>
  <c r="B90" i="82"/>
  <c r="T89" i="82"/>
  <c r="P89" i="82"/>
  <c r="X89" i="82" s="1"/>
  <c r="H89" i="82"/>
  <c r="D89" i="82"/>
  <c r="L89" i="82" s="1"/>
  <c r="B89" i="82"/>
  <c r="Z88" i="82"/>
  <c r="X88" i="82"/>
  <c r="N88" i="82"/>
  <c r="L88" i="82"/>
  <c r="B88" i="82"/>
  <c r="T87" i="82"/>
  <c r="P87" i="82"/>
  <c r="X87" i="82" s="1"/>
  <c r="N87" i="82"/>
  <c r="H87" i="82"/>
  <c r="D87" i="82"/>
  <c r="L87" i="82" s="1"/>
  <c r="B87" i="82"/>
  <c r="X86" i="82"/>
  <c r="Z86" i="82" s="1"/>
  <c r="V86" i="82"/>
  <c r="N86" i="82"/>
  <c r="L86" i="82"/>
  <c r="B86" i="82"/>
  <c r="X85" i="82"/>
  <c r="Z85" i="82" s="1"/>
  <c r="L85" i="82"/>
  <c r="N85" i="82" s="1"/>
  <c r="B85" i="82"/>
  <c r="Z84" i="82"/>
  <c r="T84" i="82"/>
  <c r="P84" i="82"/>
  <c r="X84" i="82" s="1"/>
  <c r="L84" i="82"/>
  <c r="N84" i="82" s="1"/>
  <c r="H84" i="82"/>
  <c r="D84" i="82"/>
  <c r="B84" i="82"/>
  <c r="X83" i="82"/>
  <c r="Z83" i="82" s="1"/>
  <c r="L83" i="82"/>
  <c r="N83" i="82" s="1"/>
  <c r="B83" i="82"/>
  <c r="X82" i="82"/>
  <c r="Z82" i="82" s="1"/>
  <c r="V82" i="82"/>
  <c r="N82" i="82"/>
  <c r="L82" i="82"/>
  <c r="B82" i="82"/>
  <c r="X81" i="82"/>
  <c r="Z81" i="82" s="1"/>
  <c r="L81" i="82"/>
  <c r="N81" i="82" s="1"/>
  <c r="B81" i="82"/>
  <c r="Z80" i="82"/>
  <c r="X80" i="82"/>
  <c r="N80" i="82"/>
  <c r="L80" i="82"/>
  <c r="B80" i="82"/>
  <c r="X79" i="82"/>
  <c r="Z79" i="82" s="1"/>
  <c r="N79" i="82"/>
  <c r="L79" i="82"/>
  <c r="B79" i="82"/>
  <c r="Z78" i="82"/>
  <c r="X78" i="82"/>
  <c r="N78" i="82"/>
  <c r="L78" i="82"/>
  <c r="B78" i="82"/>
  <c r="Z77" i="82"/>
  <c r="X77" i="82"/>
  <c r="N77" i="82"/>
  <c r="L77" i="82"/>
  <c r="B77" i="82"/>
  <c r="T76" i="82"/>
  <c r="P76" i="82"/>
  <c r="H76" i="82"/>
  <c r="D76" i="82"/>
  <c r="L76" i="82" s="1"/>
  <c r="N76" i="82" s="1"/>
  <c r="B76" i="82"/>
  <c r="X75" i="82"/>
  <c r="Z75" i="82" s="1"/>
  <c r="L75" i="82"/>
  <c r="N75" i="82" s="1"/>
  <c r="B75" i="82"/>
  <c r="T74" i="82"/>
  <c r="P74" i="82"/>
  <c r="X74" i="82" s="1"/>
  <c r="Z74" i="82" s="1"/>
  <c r="H74" i="82"/>
  <c r="D74" i="82"/>
  <c r="L74" i="82" s="1"/>
  <c r="N74" i="82" s="1"/>
  <c r="B74" i="82"/>
  <c r="X73" i="82"/>
  <c r="Z73" i="82" s="1"/>
  <c r="L73" i="82"/>
  <c r="N73" i="82" s="1"/>
  <c r="B73" i="82"/>
  <c r="Z72" i="82"/>
  <c r="X72" i="82"/>
  <c r="N72" i="82"/>
  <c r="L72" i="82"/>
  <c r="B72" i="82"/>
  <c r="X71" i="82"/>
  <c r="Z71" i="82" s="1"/>
  <c r="L71" i="82"/>
  <c r="N71" i="82" s="1"/>
  <c r="B71" i="82"/>
  <c r="Z70" i="82"/>
  <c r="X70" i="82"/>
  <c r="N70" i="82"/>
  <c r="L70" i="82"/>
  <c r="B70" i="82"/>
  <c r="T69" i="82"/>
  <c r="P69" i="82"/>
  <c r="H69" i="82"/>
  <c r="D69" i="82"/>
  <c r="B69" i="82"/>
  <c r="Z68" i="82"/>
  <c r="X68" i="82"/>
  <c r="N68" i="82"/>
  <c r="L68" i="82"/>
  <c r="B68" i="82"/>
  <c r="X67" i="82"/>
  <c r="Z67" i="82" s="1"/>
  <c r="N67" i="82"/>
  <c r="L67" i="82"/>
  <c r="B67" i="82"/>
  <c r="Z66" i="82"/>
  <c r="V66" i="82"/>
  <c r="T66" i="82"/>
  <c r="P66" i="82"/>
  <c r="X66" i="82" s="1"/>
  <c r="N66" i="82"/>
  <c r="H66" i="82"/>
  <c r="D66" i="82"/>
  <c r="L66" i="82" s="1"/>
  <c r="B66" i="82"/>
  <c r="X65" i="82"/>
  <c r="Z65" i="82" s="1"/>
  <c r="L65" i="82"/>
  <c r="N65" i="82" s="1"/>
  <c r="B65" i="82"/>
  <c r="V64" i="82"/>
  <c r="T64" i="82"/>
  <c r="P64" i="82"/>
  <c r="X64" i="82" s="1"/>
  <c r="Z64" i="82" s="1"/>
  <c r="N64" i="82"/>
  <c r="L64" i="82"/>
  <c r="H64" i="82"/>
  <c r="D64" i="82"/>
  <c r="B64" i="82"/>
  <c r="X63" i="82"/>
  <c r="Z63" i="82" s="1"/>
  <c r="V63" i="82"/>
  <c r="L63" i="82"/>
  <c r="N63" i="82" s="1"/>
  <c r="B63" i="82"/>
  <c r="X62" i="82"/>
  <c r="Z62" i="82" s="1"/>
  <c r="V62" i="82"/>
  <c r="T62" i="82"/>
  <c r="P62" i="82"/>
  <c r="H62" i="82"/>
  <c r="D62" i="82"/>
  <c r="L62" i="82" s="1"/>
  <c r="N62" i="82" s="1"/>
  <c r="B62" i="82"/>
  <c r="X61" i="82"/>
  <c r="Z61" i="82" s="1"/>
  <c r="N61" i="82"/>
  <c r="L61" i="82"/>
  <c r="B61" i="82"/>
  <c r="Z60" i="82"/>
  <c r="V60" i="82"/>
  <c r="T60" i="82"/>
  <c r="P60" i="82"/>
  <c r="X60" i="82" s="1"/>
  <c r="N60" i="82"/>
  <c r="H60" i="82"/>
  <c r="D60" i="82"/>
  <c r="L60" i="82" s="1"/>
  <c r="B60" i="82"/>
  <c r="X59" i="82"/>
  <c r="Z59" i="82" s="1"/>
  <c r="L59" i="82"/>
  <c r="N59" i="82" s="1"/>
  <c r="B59" i="82"/>
  <c r="Z58" i="82"/>
  <c r="T58" i="82"/>
  <c r="P58" i="82"/>
  <c r="X58" i="82" s="1"/>
  <c r="H58" i="82"/>
  <c r="L58" i="82" s="1"/>
  <c r="N58" i="82" s="1"/>
  <c r="D58" i="82"/>
  <c r="B58" i="82"/>
  <c r="X57" i="82"/>
  <c r="Z57" i="82" s="1"/>
  <c r="N57" i="82"/>
  <c r="L57" i="82"/>
  <c r="B57" i="82"/>
  <c r="V56" i="82"/>
  <c r="T56" i="82"/>
  <c r="X56" i="82" s="1"/>
  <c r="Z56" i="82" s="1"/>
  <c r="P56" i="82"/>
  <c r="N56" i="82"/>
  <c r="L56" i="82"/>
  <c r="H56" i="82"/>
  <c r="D56" i="82"/>
  <c r="B56" i="82"/>
  <c r="X55" i="82"/>
  <c r="Z55" i="82" s="1"/>
  <c r="V55" i="82"/>
  <c r="L55" i="82"/>
  <c r="N55" i="82" s="1"/>
  <c r="B55" i="82"/>
  <c r="Z54" i="82"/>
  <c r="X54" i="82"/>
  <c r="N54" i="82"/>
  <c r="L54" i="82"/>
  <c r="B54" i="82"/>
  <c r="X53" i="82"/>
  <c r="Z53" i="82" s="1"/>
  <c r="T53" i="82"/>
  <c r="P53" i="82"/>
  <c r="L53" i="82"/>
  <c r="H53" i="82"/>
  <c r="D53" i="82"/>
  <c r="B53" i="82"/>
  <c r="Z52" i="82"/>
  <c r="X52" i="82"/>
  <c r="N52" i="82"/>
  <c r="L52" i="82"/>
  <c r="B52" i="82"/>
  <c r="X51" i="82"/>
  <c r="T51" i="82"/>
  <c r="P51" i="82"/>
  <c r="L51" i="82"/>
  <c r="H51" i="82"/>
  <c r="D51" i="82"/>
  <c r="B51" i="82"/>
  <c r="Z50" i="82"/>
  <c r="X50" i="82"/>
  <c r="V50" i="82"/>
  <c r="N50" i="82"/>
  <c r="L50" i="82"/>
  <c r="B50" i="82"/>
  <c r="T49" i="82"/>
  <c r="P49" i="82"/>
  <c r="X49" i="82" s="1"/>
  <c r="L49" i="82"/>
  <c r="H49" i="82"/>
  <c r="D49" i="82"/>
  <c r="B49" i="82"/>
  <c r="Z48" i="82"/>
  <c r="X48" i="82"/>
  <c r="N48" i="82"/>
  <c r="L48" i="82"/>
  <c r="B48" i="82"/>
  <c r="X47" i="82"/>
  <c r="T47" i="82"/>
  <c r="Z47" i="82" s="1"/>
  <c r="P47" i="82"/>
  <c r="N47" i="82"/>
  <c r="L47" i="82"/>
  <c r="H47" i="82"/>
  <c r="D47" i="82"/>
  <c r="B47" i="82"/>
  <c r="Z46" i="82"/>
  <c r="X46" i="82"/>
  <c r="N46" i="82"/>
  <c r="L46" i="82"/>
  <c r="B46" i="82"/>
  <c r="Z45" i="82"/>
  <c r="X45" i="82"/>
  <c r="N45" i="82"/>
  <c r="L45" i="82"/>
  <c r="B45" i="82"/>
  <c r="Z44" i="82"/>
  <c r="X44" i="82"/>
  <c r="V44" i="82"/>
  <c r="N44" i="82"/>
  <c r="L44" i="82"/>
  <c r="B44" i="82"/>
  <c r="X43" i="82"/>
  <c r="Z43" i="82" s="1"/>
  <c r="N43" i="82"/>
  <c r="L43" i="82"/>
  <c r="B43" i="82"/>
  <c r="Z42" i="82"/>
  <c r="X42" i="82"/>
  <c r="V42" i="82"/>
  <c r="N42" i="82"/>
  <c r="L42" i="82"/>
  <c r="B42" i="82"/>
  <c r="Z41" i="82"/>
  <c r="X41" i="82"/>
  <c r="N41" i="82"/>
  <c r="L41" i="82"/>
  <c r="B41" i="82"/>
  <c r="Z40" i="82"/>
  <c r="X40" i="82"/>
  <c r="N40" i="82"/>
  <c r="L40" i="82"/>
  <c r="B40" i="82"/>
  <c r="Z39" i="82"/>
  <c r="X39" i="82"/>
  <c r="N39" i="82"/>
  <c r="L39" i="82"/>
  <c r="B39" i="82"/>
  <c r="Z38" i="82"/>
  <c r="X38" i="82"/>
  <c r="N38" i="82"/>
  <c r="L38" i="82"/>
  <c r="B38" i="82"/>
  <c r="Z37" i="82"/>
  <c r="X37" i="82"/>
  <c r="N37" i="82"/>
  <c r="L37" i="82"/>
  <c r="B37" i="82"/>
  <c r="T36" i="82"/>
  <c r="P36" i="82"/>
  <c r="X36" i="82" s="1"/>
  <c r="Z36" i="82" s="1"/>
  <c r="L36" i="82"/>
  <c r="N36" i="82" s="1"/>
  <c r="H36" i="82"/>
  <c r="D36" i="82"/>
  <c r="B36" i="82"/>
  <c r="X35" i="82"/>
  <c r="Z35" i="82" s="1"/>
  <c r="L35" i="82"/>
  <c r="N35" i="82" s="1"/>
  <c r="B35" i="82"/>
  <c r="X34" i="82"/>
  <c r="Z34" i="82" s="1"/>
  <c r="N34" i="82"/>
  <c r="L34" i="82"/>
  <c r="B34" i="82"/>
  <c r="X33" i="82"/>
  <c r="Z33" i="82" s="1"/>
  <c r="L33" i="82"/>
  <c r="N33" i="82" s="1"/>
  <c r="B33" i="82"/>
  <c r="Z32" i="82"/>
  <c r="X32" i="82"/>
  <c r="N32" i="82"/>
  <c r="L32" i="82"/>
  <c r="B32" i="82"/>
  <c r="X31" i="82"/>
  <c r="Z31" i="82" s="1"/>
  <c r="L31" i="82"/>
  <c r="N31" i="82" s="1"/>
  <c r="B31" i="82"/>
  <c r="Z30" i="82"/>
  <c r="X30" i="82"/>
  <c r="V30" i="82"/>
  <c r="N30" i="82"/>
  <c r="L30" i="82"/>
  <c r="B30" i="82"/>
  <c r="X29" i="82"/>
  <c r="Z29" i="82" s="1"/>
  <c r="L29" i="82"/>
  <c r="N29" i="82" s="1"/>
  <c r="B29" i="82"/>
  <c r="Z28" i="82"/>
  <c r="X28" i="82"/>
  <c r="N28" i="82"/>
  <c r="L28" i="82"/>
  <c r="B28" i="82"/>
  <c r="X27" i="82"/>
  <c r="Z27" i="82" s="1"/>
  <c r="V27" i="82"/>
  <c r="L27" i="82"/>
  <c r="N27" i="82" s="1"/>
  <c r="B27" i="82"/>
  <c r="X26" i="82"/>
  <c r="Z26" i="82" s="1"/>
  <c r="V26" i="82"/>
  <c r="T26" i="82"/>
  <c r="P26" i="82"/>
  <c r="H26" i="82"/>
  <c r="D26" i="82"/>
  <c r="L26" i="82" s="1"/>
  <c r="N26" i="82" s="1"/>
  <c r="B26" i="82"/>
  <c r="T25" i="82" a="1"/>
  <c r="T25" i="82"/>
  <c r="X25" i="82" s="1"/>
  <c r="P25" i="82" a="1"/>
  <c r="P25" i="82"/>
  <c r="H25" i="82" a="1"/>
  <c r="H25" i="82" s="1"/>
  <c r="D25" i="82" a="1"/>
  <c r="D25" i="82"/>
  <c r="L25" i="82" s="1"/>
  <c r="Z21" i="82"/>
  <c r="X21" i="82"/>
  <c r="N21" i="82"/>
  <c r="L21" i="82"/>
  <c r="B21" i="82"/>
  <c r="Z20" i="82"/>
  <c r="X20" i="82"/>
  <c r="N20" i="82"/>
  <c r="L20" i="82"/>
  <c r="B20" i="82"/>
  <c r="X19" i="82"/>
  <c r="Z19" i="82" s="1"/>
  <c r="L19" i="82"/>
  <c r="N19" i="82" s="1"/>
  <c r="B19" i="82"/>
  <c r="Z18" i="82"/>
  <c r="V18" i="82"/>
  <c r="T18" i="82"/>
  <c r="P18" i="82"/>
  <c r="X18" i="82" s="1"/>
  <c r="N18" i="82"/>
  <c r="L18" i="82"/>
  <c r="H18" i="82"/>
  <c r="D18" i="82"/>
  <c r="Z16" i="82"/>
  <c r="X16" i="82"/>
  <c r="P16" i="82"/>
  <c r="N16" i="82"/>
  <c r="L16" i="82"/>
  <c r="D16" i="82"/>
  <c r="B16" i="82"/>
  <c r="P15" i="82"/>
  <c r="X15" i="82" s="1"/>
  <c r="Z15" i="82" s="1"/>
  <c r="N15" i="82"/>
  <c r="D15" i="82"/>
  <c r="L15" i="82" s="1"/>
  <c r="B15" i="82"/>
  <c r="Z14" i="82"/>
  <c r="P14" i="82"/>
  <c r="N14" i="82"/>
  <c r="L14" i="82"/>
  <c r="D14" i="82"/>
  <c r="B14" i="82"/>
  <c r="X13" i="82"/>
  <c r="Z13" i="82" s="1"/>
  <c r="P13" i="82"/>
  <c r="N13" i="82"/>
  <c r="D13" i="82"/>
  <c r="L13" i="82" s="1"/>
  <c r="B13" i="82"/>
  <c r="T12" i="82"/>
  <c r="V78" i="82" s="1"/>
  <c r="H12" i="82"/>
  <c r="J90" i="82" s="1"/>
  <c r="D6" i="82"/>
  <c r="D4" i="82"/>
  <c r="R35" i="81"/>
  <c r="F35" i="81"/>
  <c r="V32" i="81"/>
  <c r="R32" i="81"/>
  <c r="J32" i="81"/>
  <c r="Z30" i="81"/>
  <c r="X30" i="81"/>
  <c r="V30" i="81"/>
  <c r="N30" i="81"/>
  <c r="L30" i="81"/>
  <c r="J30" i="81"/>
  <c r="R28" i="81"/>
  <c r="J28" i="81"/>
  <c r="F28" i="81"/>
  <c r="Z26" i="81"/>
  <c r="X26" i="81"/>
  <c r="V26" i="81"/>
  <c r="T26" i="81"/>
  <c r="R26" i="81"/>
  <c r="P26" i="81"/>
  <c r="H26" i="81"/>
  <c r="L26" i="81" s="1"/>
  <c r="F26" i="81"/>
  <c r="D26" i="81"/>
  <c r="Z24" i="81"/>
  <c r="X24" i="81"/>
  <c r="V24" i="81"/>
  <c r="N24" i="81"/>
  <c r="L24" i="81"/>
  <c r="J24" i="81"/>
  <c r="B24" i="81"/>
  <c r="V23" i="81"/>
  <c r="T23" i="81"/>
  <c r="P23" i="81"/>
  <c r="L23" i="81"/>
  <c r="H23" i="81"/>
  <c r="N23" i="81" s="1"/>
  <c r="D23" i="81"/>
  <c r="B23" i="81"/>
  <c r="Z22" i="81"/>
  <c r="X22" i="81"/>
  <c r="N22" i="81"/>
  <c r="L22" i="81"/>
  <c r="B22" i="81"/>
  <c r="T21" i="81"/>
  <c r="Z21" i="81" s="1"/>
  <c r="P21" i="81"/>
  <c r="X21" i="81" s="1"/>
  <c r="N21" i="81"/>
  <c r="H21" i="81"/>
  <c r="D21" i="81"/>
  <c r="L21" i="81" s="1"/>
  <c r="B21" i="81"/>
  <c r="Z20" i="81"/>
  <c r="X20" i="81"/>
  <c r="V20" i="81"/>
  <c r="R20" i="81"/>
  <c r="N20" i="81"/>
  <c r="L20" i="81"/>
  <c r="J20" i="81"/>
  <c r="F20" i="81"/>
  <c r="B20" i="81"/>
  <c r="X19" i="81"/>
  <c r="V19" i="81"/>
  <c r="T19" i="81"/>
  <c r="Z19" i="81" s="1"/>
  <c r="R19" i="81"/>
  <c r="P19" i="81"/>
  <c r="H19" i="81"/>
  <c r="N19" i="81" s="1"/>
  <c r="F19" i="81"/>
  <c r="D19" i="81"/>
  <c r="B19" i="81"/>
  <c r="X18" i="81"/>
  <c r="T18" i="81" a="1"/>
  <c r="T18" i="81"/>
  <c r="Z18" i="81" s="1"/>
  <c r="R18" i="81"/>
  <c r="P18" i="81" a="1"/>
  <c r="P18" i="81"/>
  <c r="H18" i="81" a="1"/>
  <c r="H18" i="81"/>
  <c r="N18" i="81" s="1"/>
  <c r="F18" i="81"/>
  <c r="D18" i="81" a="1"/>
  <c r="D18" i="81"/>
  <c r="R16" i="81"/>
  <c r="J16" i="81"/>
  <c r="Z14" i="81"/>
  <c r="X14" i="81"/>
  <c r="V14" i="81"/>
  <c r="T14" i="81"/>
  <c r="T16" i="81" s="1"/>
  <c r="Z16" i="81" s="1"/>
  <c r="R14" i="81"/>
  <c r="P14" i="81"/>
  <c r="P16" i="81" s="1"/>
  <c r="P28" i="81" s="1"/>
  <c r="J14" i="81"/>
  <c r="H14" i="81"/>
  <c r="N14" i="81" s="1"/>
  <c r="D14" i="81"/>
  <c r="L14" i="81" s="1"/>
  <c r="Z12" i="81"/>
  <c r="X12" i="81"/>
  <c r="T12" i="81"/>
  <c r="V21" i="81" s="1"/>
  <c r="P12" i="81"/>
  <c r="R22" i="81" s="1"/>
  <c r="N12" i="81"/>
  <c r="L12" i="81"/>
  <c r="H12" i="81"/>
  <c r="J35" i="81" s="1"/>
  <c r="D12" i="81"/>
  <c r="D6" i="81"/>
  <c r="D4" i="81"/>
  <c r="V35" i="80"/>
  <c r="F35" i="80"/>
  <c r="V32" i="80"/>
  <c r="F32" i="80"/>
  <c r="Z30" i="80"/>
  <c r="X30" i="80"/>
  <c r="V30" i="80"/>
  <c r="R30" i="80"/>
  <c r="N30" i="80"/>
  <c r="L30" i="80"/>
  <c r="J30" i="80"/>
  <c r="F30" i="80"/>
  <c r="V28" i="80"/>
  <c r="F28" i="80"/>
  <c r="V26" i="80"/>
  <c r="T26" i="80"/>
  <c r="P26" i="80"/>
  <c r="N26" i="80"/>
  <c r="H26" i="80"/>
  <c r="F26" i="80"/>
  <c r="D26" i="80"/>
  <c r="L26" i="80" s="1"/>
  <c r="Z24" i="80"/>
  <c r="X24" i="80"/>
  <c r="V24" i="80"/>
  <c r="R24" i="80"/>
  <c r="N24" i="80"/>
  <c r="L24" i="80"/>
  <c r="J24" i="80"/>
  <c r="F24" i="80"/>
  <c r="B24" i="80"/>
  <c r="X23" i="80"/>
  <c r="V23" i="80"/>
  <c r="T23" i="80"/>
  <c r="Z23" i="80" s="1"/>
  <c r="P23" i="80"/>
  <c r="N23" i="80"/>
  <c r="H23" i="80"/>
  <c r="F23" i="80"/>
  <c r="D23" i="80"/>
  <c r="L23" i="80" s="1"/>
  <c r="B23" i="80"/>
  <c r="Z22" i="80"/>
  <c r="X22" i="80"/>
  <c r="N22" i="80"/>
  <c r="L22" i="80"/>
  <c r="B22" i="80"/>
  <c r="T21" i="80"/>
  <c r="Z21" i="80" s="1"/>
  <c r="R21" i="80"/>
  <c r="P21" i="80"/>
  <c r="N21" i="80"/>
  <c r="J21" i="80"/>
  <c r="H21" i="80"/>
  <c r="D21" i="80"/>
  <c r="L21" i="80" s="1"/>
  <c r="B21" i="80"/>
  <c r="X20" i="80"/>
  <c r="Z20" i="80" s="1"/>
  <c r="V20" i="80"/>
  <c r="R20" i="80"/>
  <c r="L20" i="80"/>
  <c r="N20" i="80" s="1"/>
  <c r="J20" i="80"/>
  <c r="F20" i="80"/>
  <c r="B20" i="80"/>
  <c r="X19" i="80"/>
  <c r="Z19" i="80" s="1"/>
  <c r="V19" i="80"/>
  <c r="T19" i="80"/>
  <c r="P19" i="80"/>
  <c r="H19" i="80"/>
  <c r="L19" i="80" s="1"/>
  <c r="F19" i="80"/>
  <c r="D19" i="80"/>
  <c r="B19" i="80"/>
  <c r="T18" i="80" a="1"/>
  <c r="T18" i="80"/>
  <c r="T28" i="80" s="1"/>
  <c r="R18" i="80"/>
  <c r="P18" i="80" a="1"/>
  <c r="P18" i="80" s="1"/>
  <c r="X18" i="80" s="1"/>
  <c r="Z18" i="80" s="1"/>
  <c r="L18" i="80"/>
  <c r="N18" i="80" s="1"/>
  <c r="H18" i="80" a="1"/>
  <c r="H18" i="80"/>
  <c r="F18" i="80"/>
  <c r="D18" i="80" a="1"/>
  <c r="D18" i="80" s="1"/>
  <c r="Z16" i="80"/>
  <c r="T16" i="80"/>
  <c r="R16" i="80"/>
  <c r="P16" i="80"/>
  <c r="J16" i="80"/>
  <c r="D16" i="80"/>
  <c r="Z14" i="80"/>
  <c r="X14" i="80"/>
  <c r="V14" i="80"/>
  <c r="T14" i="80"/>
  <c r="R14" i="80"/>
  <c r="P14" i="80"/>
  <c r="J14" i="80"/>
  <c r="H14" i="80"/>
  <c r="H16" i="80" s="1"/>
  <c r="F14" i="80"/>
  <c r="D14" i="80"/>
  <c r="Z12" i="80"/>
  <c r="X12" i="80"/>
  <c r="T12" i="80"/>
  <c r="V22" i="80" s="1"/>
  <c r="P12" i="80"/>
  <c r="R32" i="80" s="1"/>
  <c r="N12" i="80"/>
  <c r="L12" i="80"/>
  <c r="H12" i="80"/>
  <c r="J35" i="80" s="1"/>
  <c r="D12" i="80"/>
  <c r="F21" i="80" s="1"/>
  <c r="D6" i="80"/>
  <c r="D4" i="80"/>
  <c r="V37" i="79"/>
  <c r="V34" i="79"/>
  <c r="Z32" i="79"/>
  <c r="X32" i="79"/>
  <c r="V32" i="79"/>
  <c r="R32" i="79"/>
  <c r="N32" i="79"/>
  <c r="L32" i="79"/>
  <c r="V30" i="79"/>
  <c r="F30" i="79"/>
  <c r="T28" i="79"/>
  <c r="Z28" i="79" s="1"/>
  <c r="P28" i="79"/>
  <c r="X28" i="79" s="1"/>
  <c r="N28" i="79"/>
  <c r="L28" i="79"/>
  <c r="H28" i="79"/>
  <c r="F28" i="79"/>
  <c r="D28" i="79"/>
  <c r="Z26" i="79"/>
  <c r="X26" i="79"/>
  <c r="V26" i="79"/>
  <c r="N26" i="79"/>
  <c r="L26" i="79"/>
  <c r="J26" i="79"/>
  <c r="B26" i="79"/>
  <c r="Z25" i="79"/>
  <c r="T25" i="79"/>
  <c r="P25" i="79"/>
  <c r="X25" i="79" s="1"/>
  <c r="N25" i="79"/>
  <c r="H25" i="79"/>
  <c r="D25" i="79"/>
  <c r="L25" i="79" s="1"/>
  <c r="B25" i="79"/>
  <c r="Z24" i="79"/>
  <c r="X24" i="79"/>
  <c r="N24" i="79"/>
  <c r="L24" i="79"/>
  <c r="B24" i="79"/>
  <c r="T23" i="79"/>
  <c r="Z23" i="79" s="1"/>
  <c r="R23" i="79"/>
  <c r="P23" i="79"/>
  <c r="L23" i="79"/>
  <c r="J23" i="79"/>
  <c r="H23" i="79"/>
  <c r="N23" i="79" s="1"/>
  <c r="D23" i="79"/>
  <c r="B23" i="79"/>
  <c r="Z22" i="79"/>
  <c r="X22" i="79"/>
  <c r="R22" i="79"/>
  <c r="N22" i="79"/>
  <c r="L22" i="79"/>
  <c r="B22" i="79"/>
  <c r="T21" i="79"/>
  <c r="Z21" i="79" s="1"/>
  <c r="P21" i="79"/>
  <c r="X21" i="79" s="1"/>
  <c r="N21" i="79"/>
  <c r="H21" i="79"/>
  <c r="L21" i="79" s="1"/>
  <c r="D21" i="79"/>
  <c r="B21" i="79"/>
  <c r="X20" i="79"/>
  <c r="Z20" i="79" s="1"/>
  <c r="N20" i="79"/>
  <c r="L20" i="79"/>
  <c r="B20" i="79"/>
  <c r="T19" i="79"/>
  <c r="R19" i="79"/>
  <c r="P19" i="79"/>
  <c r="L19" i="79"/>
  <c r="J19" i="79"/>
  <c r="H19" i="79"/>
  <c r="N19" i="79" s="1"/>
  <c r="D19" i="79"/>
  <c r="B19" i="79"/>
  <c r="V18" i="79"/>
  <c r="T18" i="79" a="1"/>
  <c r="T18" i="79" s="1"/>
  <c r="P18" i="79" a="1"/>
  <c r="P18" i="79"/>
  <c r="X18" i="79" s="1"/>
  <c r="J18" i="79"/>
  <c r="H18" i="79" a="1"/>
  <c r="H18" i="79" s="1"/>
  <c r="D18" i="79" a="1"/>
  <c r="D18" i="79"/>
  <c r="V16" i="79"/>
  <c r="T16" i="79"/>
  <c r="Z16" i="79" s="1"/>
  <c r="F16" i="79"/>
  <c r="D16" i="79"/>
  <c r="T14" i="79"/>
  <c r="Z14" i="79" s="1"/>
  <c r="P14" i="79"/>
  <c r="X14" i="79" s="1"/>
  <c r="N14" i="79"/>
  <c r="H14" i="79"/>
  <c r="F14" i="79"/>
  <c r="D14" i="79"/>
  <c r="L14" i="79" s="1"/>
  <c r="T12" i="79"/>
  <c r="V28" i="79" s="1"/>
  <c r="P12" i="79"/>
  <c r="H12" i="79"/>
  <c r="J22" i="79" s="1"/>
  <c r="D12" i="79"/>
  <c r="F26" i="79" s="1"/>
  <c r="D6" i="79"/>
  <c r="D4" i="79"/>
  <c r="Z80" i="78"/>
  <c r="X80" i="78"/>
  <c r="N80" i="78"/>
  <c r="L80" i="78"/>
  <c r="F80" i="78"/>
  <c r="Z76" i="78"/>
  <c r="X76" i="78"/>
  <c r="P76" i="78"/>
  <c r="N76" i="78"/>
  <c r="D76" i="78"/>
  <c r="L76" i="78" s="1"/>
  <c r="B76" i="78"/>
  <c r="Z75" i="78"/>
  <c r="X75" i="78"/>
  <c r="T75" i="78"/>
  <c r="P75" i="78"/>
  <c r="H75" i="78"/>
  <c r="N75" i="78" s="1"/>
  <c r="F75" i="78"/>
  <c r="D75" i="78"/>
  <c r="X73" i="78"/>
  <c r="Z73" i="78" s="1"/>
  <c r="L73" i="78"/>
  <c r="N73" i="78" s="1"/>
  <c r="J73" i="78"/>
  <c r="B73" i="78"/>
  <c r="T72" i="78"/>
  <c r="Z72" i="78" s="1"/>
  <c r="P72" i="78"/>
  <c r="X72" i="78" s="1"/>
  <c r="H72" i="78"/>
  <c r="D72" i="78"/>
  <c r="L72" i="78" s="1"/>
  <c r="B72" i="78"/>
  <c r="Z71" i="78"/>
  <c r="X71" i="78"/>
  <c r="N71" i="78"/>
  <c r="L71" i="78"/>
  <c r="F71" i="78"/>
  <c r="B71" i="78"/>
  <c r="Z70" i="78"/>
  <c r="X70" i="78"/>
  <c r="N70" i="78"/>
  <c r="L70" i="78"/>
  <c r="J70" i="78"/>
  <c r="F70" i="78"/>
  <c r="B70" i="78"/>
  <c r="Z69" i="78"/>
  <c r="T69" i="78"/>
  <c r="P69" i="78"/>
  <c r="X69" i="78" s="1"/>
  <c r="N69" i="78"/>
  <c r="H69" i="78"/>
  <c r="L69" i="78" s="1"/>
  <c r="D69" i="78"/>
  <c r="B69" i="78"/>
  <c r="Z68" i="78"/>
  <c r="X68" i="78"/>
  <c r="N68" i="78"/>
  <c r="L68" i="78"/>
  <c r="B68" i="78"/>
  <c r="T67" i="78"/>
  <c r="X67" i="78" s="1"/>
  <c r="Z67" i="78" s="1"/>
  <c r="P67" i="78"/>
  <c r="N67" i="78"/>
  <c r="L67" i="78"/>
  <c r="J67" i="78"/>
  <c r="H67" i="78"/>
  <c r="D67" i="78"/>
  <c r="B67" i="78"/>
  <c r="Z66" i="78"/>
  <c r="X66" i="78"/>
  <c r="N66" i="78"/>
  <c r="L66" i="78"/>
  <c r="B66" i="78"/>
  <c r="Z65" i="78"/>
  <c r="X65" i="78"/>
  <c r="T65" i="78"/>
  <c r="P65" i="78"/>
  <c r="H65" i="78"/>
  <c r="N65" i="78" s="1"/>
  <c r="F65" i="78"/>
  <c r="D65" i="78"/>
  <c r="B65" i="78"/>
  <c r="Z64" i="78"/>
  <c r="X64" i="78"/>
  <c r="N64" i="78"/>
  <c r="L64" i="78"/>
  <c r="B64" i="78"/>
  <c r="Z63" i="78"/>
  <c r="X63" i="78"/>
  <c r="N63" i="78"/>
  <c r="L63" i="78"/>
  <c r="B63" i="78"/>
  <c r="T62" i="78"/>
  <c r="P62" i="78"/>
  <c r="H62" i="78"/>
  <c r="N62" i="78" s="1"/>
  <c r="F62" i="78"/>
  <c r="D62" i="78"/>
  <c r="L62" i="78" s="1"/>
  <c r="B62" i="78"/>
  <c r="X61" i="78"/>
  <c r="Z61" i="78" s="1"/>
  <c r="N61" i="78"/>
  <c r="L61" i="78"/>
  <c r="J61" i="78"/>
  <c r="B61" i="78"/>
  <c r="Z60" i="78"/>
  <c r="X60" i="78"/>
  <c r="N60" i="78"/>
  <c r="L60" i="78"/>
  <c r="B60" i="78"/>
  <c r="Z59" i="78"/>
  <c r="X59" i="78"/>
  <c r="N59" i="78"/>
  <c r="L59" i="78"/>
  <c r="B59" i="78"/>
  <c r="T58" i="78"/>
  <c r="P58" i="78"/>
  <c r="H58" i="78"/>
  <c r="N58" i="78" s="1"/>
  <c r="F58" i="78"/>
  <c r="D58" i="78"/>
  <c r="L58" i="78" s="1"/>
  <c r="B58" i="78"/>
  <c r="Z57" i="78"/>
  <c r="X57" i="78"/>
  <c r="N57" i="78"/>
  <c r="L57" i="78"/>
  <c r="J57" i="78"/>
  <c r="B57" i="78"/>
  <c r="Z56" i="78"/>
  <c r="X56" i="78"/>
  <c r="N56" i="78"/>
  <c r="L56" i="78"/>
  <c r="B56" i="78"/>
  <c r="Z55" i="78"/>
  <c r="X55" i="78"/>
  <c r="N55" i="78"/>
  <c r="L55" i="78"/>
  <c r="B55" i="78"/>
  <c r="Z54" i="78"/>
  <c r="X54" i="78"/>
  <c r="N54" i="78"/>
  <c r="L54" i="78"/>
  <c r="B54" i="78"/>
  <c r="X53" i="78"/>
  <c r="Z53" i="78" s="1"/>
  <c r="T53" i="78"/>
  <c r="P53" i="78"/>
  <c r="H53" i="78"/>
  <c r="N53" i="78" s="1"/>
  <c r="F53" i="78"/>
  <c r="D53" i="78"/>
  <c r="B53" i="78"/>
  <c r="X52" i="78"/>
  <c r="Z52" i="78" s="1"/>
  <c r="N52" i="78"/>
  <c r="L52" i="78"/>
  <c r="B52" i="78"/>
  <c r="T51" i="78"/>
  <c r="P51" i="78"/>
  <c r="H51" i="78"/>
  <c r="D51" i="78"/>
  <c r="L51" i="78" s="1"/>
  <c r="N51" i="78" s="1"/>
  <c r="B51" i="78"/>
  <c r="Z50" i="78"/>
  <c r="X50" i="78"/>
  <c r="N50" i="78"/>
  <c r="L50" i="78"/>
  <c r="J50" i="78"/>
  <c r="F50" i="78"/>
  <c r="B50" i="78"/>
  <c r="T49" i="78"/>
  <c r="P49" i="78"/>
  <c r="X49" i="78" s="1"/>
  <c r="Z49" i="78" s="1"/>
  <c r="N49" i="78"/>
  <c r="L49" i="78"/>
  <c r="H49" i="78"/>
  <c r="D49" i="78"/>
  <c r="B49" i="78"/>
  <c r="Z48" i="78"/>
  <c r="X48" i="78"/>
  <c r="L48" i="78"/>
  <c r="N48" i="78" s="1"/>
  <c r="B48" i="78"/>
  <c r="Z47" i="78"/>
  <c r="T47" i="78"/>
  <c r="X47" i="78" s="1"/>
  <c r="P47" i="78"/>
  <c r="L47" i="78"/>
  <c r="N47" i="78" s="1"/>
  <c r="J47" i="78"/>
  <c r="H47" i="78"/>
  <c r="D47" i="78"/>
  <c r="B47" i="78"/>
  <c r="Z46" i="78"/>
  <c r="X46" i="78"/>
  <c r="N46" i="78"/>
  <c r="L46" i="78"/>
  <c r="B46" i="78"/>
  <c r="Z45" i="78"/>
  <c r="X45" i="78"/>
  <c r="T45" i="78"/>
  <c r="P45" i="78"/>
  <c r="H45" i="78"/>
  <c r="N45" i="78" s="1"/>
  <c r="F45" i="78"/>
  <c r="D45" i="78"/>
  <c r="B45" i="78"/>
  <c r="X44" i="78"/>
  <c r="Z44" i="78" s="1"/>
  <c r="N44" i="78"/>
  <c r="L44" i="78"/>
  <c r="B44" i="78"/>
  <c r="Z43" i="78"/>
  <c r="X43" i="78"/>
  <c r="N43" i="78"/>
  <c r="L43" i="78"/>
  <c r="B43" i="78"/>
  <c r="T42" i="78"/>
  <c r="P42" i="78"/>
  <c r="H42" i="78"/>
  <c r="F42" i="78"/>
  <c r="D42" i="78"/>
  <c r="L42" i="78" s="1"/>
  <c r="N42" i="78" s="1"/>
  <c r="B42" i="78"/>
  <c r="X41" i="78"/>
  <c r="Z41" i="78" s="1"/>
  <c r="L41" i="78"/>
  <c r="N41" i="78" s="1"/>
  <c r="J41" i="78"/>
  <c r="B41" i="78"/>
  <c r="T40" i="78"/>
  <c r="P40" i="78"/>
  <c r="X40" i="78" s="1"/>
  <c r="Z40" i="78" s="1"/>
  <c r="H40" i="78"/>
  <c r="N40" i="78" s="1"/>
  <c r="D40" i="78"/>
  <c r="L40" i="78" s="1"/>
  <c r="B40" i="78"/>
  <c r="Z39" i="78"/>
  <c r="X39" i="78"/>
  <c r="N39" i="78"/>
  <c r="L39" i="78"/>
  <c r="F39" i="78"/>
  <c r="B39" i="78"/>
  <c r="Z38" i="78"/>
  <c r="X38" i="78"/>
  <c r="N38" i="78"/>
  <c r="L38" i="78"/>
  <c r="J38" i="78"/>
  <c r="F38" i="78"/>
  <c r="B38" i="78"/>
  <c r="Z37" i="78"/>
  <c r="X37" i="78"/>
  <c r="N37" i="78"/>
  <c r="L37" i="78"/>
  <c r="J37" i="78"/>
  <c r="B37" i="78"/>
  <c r="Z36" i="78"/>
  <c r="X36" i="78"/>
  <c r="N36" i="78"/>
  <c r="L36" i="78"/>
  <c r="B36" i="78"/>
  <c r="Z35" i="78"/>
  <c r="X35" i="78"/>
  <c r="N35" i="78"/>
  <c r="L35" i="78"/>
  <c r="B35" i="78"/>
  <c r="Z34" i="78"/>
  <c r="X34" i="78"/>
  <c r="R34" i="78"/>
  <c r="N34" i="78"/>
  <c r="L34" i="78"/>
  <c r="B34" i="78"/>
  <c r="Z33" i="78"/>
  <c r="X33" i="78"/>
  <c r="N33" i="78"/>
  <c r="L33" i="78"/>
  <c r="B33" i="78"/>
  <c r="Z32" i="78"/>
  <c r="X32" i="78"/>
  <c r="N32" i="78"/>
  <c r="L32" i="78"/>
  <c r="B32" i="78"/>
  <c r="Z31" i="78"/>
  <c r="X31" i="78"/>
  <c r="N31" i="78"/>
  <c r="L31" i="78"/>
  <c r="F31" i="78"/>
  <c r="B31" i="78"/>
  <c r="X30" i="78"/>
  <c r="Z30" i="78" s="1"/>
  <c r="L30" i="78"/>
  <c r="N30" i="78" s="1"/>
  <c r="J30" i="78"/>
  <c r="F30" i="78"/>
  <c r="B30" i="78"/>
  <c r="T29" i="78"/>
  <c r="P29" i="78"/>
  <c r="X29" i="78" s="1"/>
  <c r="N29" i="78"/>
  <c r="H29" i="78"/>
  <c r="D29" i="78"/>
  <c r="L29" i="78" s="1"/>
  <c r="B29" i="78"/>
  <c r="Z28" i="78"/>
  <c r="X28" i="78"/>
  <c r="L28" i="78"/>
  <c r="N28" i="78" s="1"/>
  <c r="B28" i="78"/>
  <c r="Z27" i="78"/>
  <c r="X27" i="78"/>
  <c r="L27" i="78"/>
  <c r="N27" i="78" s="1"/>
  <c r="F27" i="78"/>
  <c r="B27" i="78"/>
  <c r="Z26" i="78"/>
  <c r="X26" i="78"/>
  <c r="N26" i="78"/>
  <c r="L26" i="78"/>
  <c r="J26" i="78"/>
  <c r="F26" i="78"/>
  <c r="B26" i="78"/>
  <c r="Z25" i="78"/>
  <c r="X25" i="78"/>
  <c r="N25" i="78"/>
  <c r="L25" i="78"/>
  <c r="J25" i="78"/>
  <c r="B25" i="78"/>
  <c r="Z24" i="78"/>
  <c r="X24" i="78"/>
  <c r="N24" i="78"/>
  <c r="L24" i="78"/>
  <c r="B24" i="78"/>
  <c r="X23" i="78"/>
  <c r="Z23" i="78" s="1"/>
  <c r="N23" i="78"/>
  <c r="L23" i="78"/>
  <c r="B23" i="78"/>
  <c r="Z22" i="78"/>
  <c r="X22" i="78"/>
  <c r="L22" i="78"/>
  <c r="N22" i="78" s="1"/>
  <c r="B22" i="78"/>
  <c r="X21" i="78"/>
  <c r="Z21" i="78" s="1"/>
  <c r="L21" i="78"/>
  <c r="N21" i="78" s="1"/>
  <c r="B21" i="78"/>
  <c r="X20" i="78"/>
  <c r="Z20" i="78" s="1"/>
  <c r="L20" i="78"/>
  <c r="N20" i="78" s="1"/>
  <c r="B20" i="78"/>
  <c r="T19" i="78"/>
  <c r="P19" i="78"/>
  <c r="X19" i="78" s="1"/>
  <c r="Z19" i="78" s="1"/>
  <c r="L19" i="78"/>
  <c r="N19" i="78" s="1"/>
  <c r="J19" i="78"/>
  <c r="H19" i="78"/>
  <c r="D19" i="78"/>
  <c r="B19" i="78"/>
  <c r="T18" i="78" a="1"/>
  <c r="T18" i="78" s="1"/>
  <c r="P18" i="78" a="1"/>
  <c r="P18" i="78" s="1"/>
  <c r="J18" i="78"/>
  <c r="H18" i="78" a="1"/>
  <c r="H18" i="78" s="1"/>
  <c r="D18" i="78" a="1"/>
  <c r="D18" i="78" s="1"/>
  <c r="L18" i="78" s="1"/>
  <c r="F16" i="78"/>
  <c r="D16" i="78"/>
  <c r="T14" i="78"/>
  <c r="Z14" i="78" s="1"/>
  <c r="P14" i="78"/>
  <c r="X14" i="78" s="1"/>
  <c r="N14" i="78"/>
  <c r="L14" i="78"/>
  <c r="H14" i="78"/>
  <c r="F14" i="78"/>
  <c r="D14" i="78"/>
  <c r="T12" i="78"/>
  <c r="V65" i="78" s="1"/>
  <c r="P12" i="78"/>
  <c r="H12" i="78"/>
  <c r="J51" i="78" s="1"/>
  <c r="D12" i="78"/>
  <c r="F72" i="78" s="1"/>
  <c r="D6" i="78"/>
  <c r="D4" i="78"/>
  <c r="J33" i="77"/>
  <c r="R30" i="77"/>
  <c r="Z28" i="77"/>
  <c r="X28" i="77"/>
  <c r="N28" i="77"/>
  <c r="L28" i="77"/>
  <c r="Z26" i="77"/>
  <c r="J26" i="77"/>
  <c r="Z24" i="77"/>
  <c r="T24" i="77"/>
  <c r="R24" i="77"/>
  <c r="P24" i="77"/>
  <c r="X24" i="77" s="1"/>
  <c r="H24" i="77"/>
  <c r="N24" i="77" s="1"/>
  <c r="D24" i="77"/>
  <c r="L24" i="77" s="1"/>
  <c r="Z22" i="77"/>
  <c r="X22" i="77"/>
  <c r="N22" i="77"/>
  <c r="L22" i="77"/>
  <c r="B22" i="77"/>
  <c r="Z21" i="77"/>
  <c r="T21" i="77"/>
  <c r="P21" i="77"/>
  <c r="X21" i="77" s="1"/>
  <c r="L21" i="77"/>
  <c r="J21" i="77"/>
  <c r="H21" i="77"/>
  <c r="N21" i="77" s="1"/>
  <c r="D21" i="77"/>
  <c r="B21" i="77"/>
  <c r="Z20" i="77"/>
  <c r="X20" i="77"/>
  <c r="V20" i="77"/>
  <c r="R20" i="77"/>
  <c r="N20" i="77"/>
  <c r="L20" i="77"/>
  <c r="B20" i="77"/>
  <c r="X19" i="77"/>
  <c r="V19" i="77"/>
  <c r="T19" i="77"/>
  <c r="Z19" i="77" s="1"/>
  <c r="P19" i="77"/>
  <c r="H19" i="77"/>
  <c r="N19" i="77" s="1"/>
  <c r="F19" i="77"/>
  <c r="D19" i="77"/>
  <c r="L19" i="77" s="1"/>
  <c r="B19" i="77"/>
  <c r="T18" i="77" a="1"/>
  <c r="T18" i="77"/>
  <c r="Z18" i="77" s="1"/>
  <c r="R18" i="77"/>
  <c r="P18" i="77" a="1"/>
  <c r="P18" i="77" s="1"/>
  <c r="X18" i="77" s="1"/>
  <c r="H18" i="77" a="1"/>
  <c r="H18" i="77"/>
  <c r="N18" i="77" s="1"/>
  <c r="F18" i="77"/>
  <c r="D18" i="77" a="1"/>
  <c r="D18" i="77" s="1"/>
  <c r="L18" i="77" s="1"/>
  <c r="Z16" i="77"/>
  <c r="T16" i="77"/>
  <c r="T26" i="77" s="1"/>
  <c r="T30" i="77" s="1"/>
  <c r="R16" i="77"/>
  <c r="P16" i="77"/>
  <c r="D16" i="77"/>
  <c r="Z14" i="77"/>
  <c r="X14" i="77"/>
  <c r="V14" i="77"/>
  <c r="T14" i="77"/>
  <c r="R14" i="77"/>
  <c r="P14" i="77"/>
  <c r="J14" i="77"/>
  <c r="H14" i="77"/>
  <c r="F14" i="77"/>
  <c r="D14" i="77"/>
  <c r="Z12" i="77"/>
  <c r="T12" i="77"/>
  <c r="V30" i="77" s="1"/>
  <c r="P12" i="77"/>
  <c r="R33" i="77" s="1"/>
  <c r="N12" i="77"/>
  <c r="L12" i="77"/>
  <c r="H12" i="77"/>
  <c r="J30" i="77" s="1"/>
  <c r="D12" i="77"/>
  <c r="F20" i="77" s="1"/>
  <c r="D6" i="77"/>
  <c r="D4" i="77"/>
  <c r="X95" i="76"/>
  <c r="Z95" i="76" s="1"/>
  <c r="V95" i="76"/>
  <c r="N95" i="76"/>
  <c r="L95" i="76"/>
  <c r="Z91" i="76"/>
  <c r="X91" i="76"/>
  <c r="P91" i="76"/>
  <c r="N91" i="76"/>
  <c r="L91" i="76"/>
  <c r="D91" i="76"/>
  <c r="B91" i="76"/>
  <c r="T90" i="76"/>
  <c r="Z90" i="76" s="1"/>
  <c r="P90" i="76"/>
  <c r="H90" i="76"/>
  <c r="N90" i="76" s="1"/>
  <c r="D90" i="76"/>
  <c r="L90" i="76" s="1"/>
  <c r="Z88" i="76"/>
  <c r="X88" i="76"/>
  <c r="L88" i="76"/>
  <c r="N88" i="76" s="1"/>
  <c r="B88" i="76"/>
  <c r="T87" i="76"/>
  <c r="P87" i="76"/>
  <c r="X87" i="76" s="1"/>
  <c r="N87" i="76"/>
  <c r="L87" i="76"/>
  <c r="H87" i="76"/>
  <c r="D87" i="76"/>
  <c r="B87" i="76"/>
  <c r="X86" i="76"/>
  <c r="Z86" i="76" s="1"/>
  <c r="V86" i="76"/>
  <c r="L86" i="76"/>
  <c r="N86" i="76" s="1"/>
  <c r="B86" i="76"/>
  <c r="X85" i="76"/>
  <c r="Z85" i="76" s="1"/>
  <c r="T85" i="76"/>
  <c r="P85" i="76"/>
  <c r="H85" i="76"/>
  <c r="D85" i="76"/>
  <c r="L85" i="76" s="1"/>
  <c r="B85" i="76"/>
  <c r="Z84" i="76"/>
  <c r="X84" i="76"/>
  <c r="N84" i="76"/>
  <c r="L84" i="76"/>
  <c r="B84" i="76"/>
  <c r="T83" i="76"/>
  <c r="P83" i="76"/>
  <c r="H83" i="76"/>
  <c r="N83" i="76" s="1"/>
  <c r="D83" i="76"/>
  <c r="L83" i="76" s="1"/>
  <c r="B83" i="76"/>
  <c r="X82" i="76"/>
  <c r="Z82" i="76" s="1"/>
  <c r="L82" i="76"/>
  <c r="N82" i="76" s="1"/>
  <c r="J82" i="76"/>
  <c r="B82" i="76"/>
  <c r="T81" i="76"/>
  <c r="P81" i="76"/>
  <c r="X81" i="76" s="1"/>
  <c r="H81" i="76"/>
  <c r="N81" i="76" s="1"/>
  <c r="D81" i="76"/>
  <c r="L81" i="76" s="1"/>
  <c r="B81" i="76"/>
  <c r="Z80" i="76"/>
  <c r="X80" i="76"/>
  <c r="N80" i="76"/>
  <c r="L80" i="76"/>
  <c r="B80" i="76"/>
  <c r="Z79" i="76"/>
  <c r="X79" i="76"/>
  <c r="N79" i="76"/>
  <c r="L79" i="76"/>
  <c r="B79" i="76"/>
  <c r="Z78" i="76"/>
  <c r="X78" i="76"/>
  <c r="L78" i="76"/>
  <c r="N78" i="76" s="1"/>
  <c r="J78" i="76"/>
  <c r="B78" i="76"/>
  <c r="X77" i="76"/>
  <c r="Z77" i="76" s="1"/>
  <c r="L77" i="76"/>
  <c r="N77" i="76" s="1"/>
  <c r="B77" i="76"/>
  <c r="Z76" i="76"/>
  <c r="X76" i="76"/>
  <c r="N76" i="76"/>
  <c r="L76" i="76"/>
  <c r="B76" i="76"/>
  <c r="Z75" i="76"/>
  <c r="X75" i="76"/>
  <c r="V75" i="76"/>
  <c r="N75" i="76"/>
  <c r="L75" i="76"/>
  <c r="B75" i="76"/>
  <c r="X74" i="76"/>
  <c r="Z74" i="76" s="1"/>
  <c r="V74" i="76"/>
  <c r="L74" i="76"/>
  <c r="N74" i="76" s="1"/>
  <c r="B74" i="76"/>
  <c r="X73" i="76"/>
  <c r="Z73" i="76" s="1"/>
  <c r="L73" i="76"/>
  <c r="N73" i="76" s="1"/>
  <c r="B73" i="76"/>
  <c r="Z72" i="76"/>
  <c r="T72" i="76"/>
  <c r="P72" i="76"/>
  <c r="X72" i="76" s="1"/>
  <c r="L72" i="76"/>
  <c r="J72" i="76"/>
  <c r="H72" i="76"/>
  <c r="N72" i="76" s="1"/>
  <c r="D72" i="76"/>
  <c r="B72" i="76"/>
  <c r="Z71" i="76"/>
  <c r="X71" i="76"/>
  <c r="V71" i="76"/>
  <c r="N71" i="76"/>
  <c r="L71" i="76"/>
  <c r="B71" i="76"/>
  <c r="X70" i="76"/>
  <c r="V70" i="76"/>
  <c r="T70" i="76"/>
  <c r="Z70" i="76" s="1"/>
  <c r="P70" i="76"/>
  <c r="H70" i="76"/>
  <c r="D70" i="76"/>
  <c r="L70" i="76" s="1"/>
  <c r="B70" i="76"/>
  <c r="X69" i="76"/>
  <c r="Z69" i="76" s="1"/>
  <c r="L69" i="76"/>
  <c r="N69" i="76" s="1"/>
  <c r="B69" i="76"/>
  <c r="Z68" i="76"/>
  <c r="X68" i="76"/>
  <c r="N68" i="76"/>
  <c r="L68" i="76"/>
  <c r="B68" i="76"/>
  <c r="Z67" i="76"/>
  <c r="X67" i="76"/>
  <c r="V67" i="76"/>
  <c r="N67" i="76"/>
  <c r="L67" i="76"/>
  <c r="B67" i="76"/>
  <c r="X66" i="76"/>
  <c r="Z66" i="76" s="1"/>
  <c r="V66" i="76"/>
  <c r="L66" i="76"/>
  <c r="N66" i="76" s="1"/>
  <c r="B66" i="76"/>
  <c r="X65" i="76"/>
  <c r="Z65" i="76" s="1"/>
  <c r="T65" i="76"/>
  <c r="P65" i="76"/>
  <c r="H65" i="76"/>
  <c r="D65" i="76"/>
  <c r="B65" i="76"/>
  <c r="Z64" i="76"/>
  <c r="X64" i="76"/>
  <c r="N64" i="76"/>
  <c r="L64" i="76"/>
  <c r="B64" i="76"/>
  <c r="Z63" i="76"/>
  <c r="X63" i="76"/>
  <c r="V63" i="76"/>
  <c r="N63" i="76"/>
  <c r="L63" i="76"/>
  <c r="B63" i="76"/>
  <c r="X62" i="76"/>
  <c r="V62" i="76"/>
  <c r="T62" i="76"/>
  <c r="P62" i="76"/>
  <c r="H62" i="76"/>
  <c r="D62" i="76"/>
  <c r="B62" i="76"/>
  <c r="X61" i="76"/>
  <c r="Z61" i="76" s="1"/>
  <c r="N61" i="76"/>
  <c r="L61" i="76"/>
  <c r="B61" i="76"/>
  <c r="T60" i="76"/>
  <c r="P60" i="76"/>
  <c r="H60" i="76"/>
  <c r="D60" i="76"/>
  <c r="L60" i="76" s="1"/>
  <c r="B60" i="76"/>
  <c r="Z59" i="76"/>
  <c r="X59" i="76"/>
  <c r="N59" i="76"/>
  <c r="L59" i="76"/>
  <c r="B59" i="76"/>
  <c r="T58" i="76"/>
  <c r="Z58" i="76" s="1"/>
  <c r="P58" i="76"/>
  <c r="X58" i="76" s="1"/>
  <c r="N58" i="76"/>
  <c r="L58" i="76"/>
  <c r="H58" i="76"/>
  <c r="D58" i="76"/>
  <c r="B58" i="76"/>
  <c r="Z57" i="76"/>
  <c r="X57" i="76"/>
  <c r="N57" i="76"/>
  <c r="L57" i="76"/>
  <c r="B57" i="76"/>
  <c r="T56" i="76"/>
  <c r="P56" i="76"/>
  <c r="X56" i="76" s="1"/>
  <c r="Z56" i="76" s="1"/>
  <c r="L56" i="76"/>
  <c r="H56" i="76"/>
  <c r="N56" i="76" s="1"/>
  <c r="D56" i="76"/>
  <c r="B56" i="76"/>
  <c r="X55" i="76"/>
  <c r="Z55" i="76" s="1"/>
  <c r="V55" i="76"/>
  <c r="L55" i="76"/>
  <c r="N55" i="76" s="1"/>
  <c r="B55" i="76"/>
  <c r="Z54" i="76"/>
  <c r="X54" i="76"/>
  <c r="V54" i="76"/>
  <c r="N54" i="76"/>
  <c r="L54" i="76"/>
  <c r="B54" i="76"/>
  <c r="Z53" i="76"/>
  <c r="X53" i="76"/>
  <c r="T53" i="76"/>
  <c r="P53" i="76"/>
  <c r="J53" i="76"/>
  <c r="H53" i="76"/>
  <c r="D53" i="76"/>
  <c r="L53" i="76" s="1"/>
  <c r="B53" i="76"/>
  <c r="X52" i="76"/>
  <c r="Z52" i="76" s="1"/>
  <c r="N52" i="76"/>
  <c r="L52" i="76"/>
  <c r="B52" i="76"/>
  <c r="T51" i="76"/>
  <c r="P51" i="76"/>
  <c r="X51" i="76" s="1"/>
  <c r="H51" i="76"/>
  <c r="N51" i="76" s="1"/>
  <c r="D51" i="76"/>
  <c r="L51" i="76" s="1"/>
  <c r="B51" i="76"/>
  <c r="Z50" i="76"/>
  <c r="X50" i="76"/>
  <c r="N50" i="76"/>
  <c r="L50" i="76"/>
  <c r="B50" i="76"/>
  <c r="T49" i="76"/>
  <c r="Z49" i="76" s="1"/>
  <c r="P49" i="76"/>
  <c r="X49" i="76" s="1"/>
  <c r="L49" i="76"/>
  <c r="H49" i="76"/>
  <c r="N49" i="76" s="1"/>
  <c r="D49" i="76"/>
  <c r="B49" i="76"/>
  <c r="Z48" i="76"/>
  <c r="X48" i="76"/>
  <c r="N48" i="76"/>
  <c r="L48" i="76"/>
  <c r="B48" i="76"/>
  <c r="X47" i="76"/>
  <c r="T47" i="76"/>
  <c r="Z47" i="76" s="1"/>
  <c r="P47" i="76"/>
  <c r="N47" i="76"/>
  <c r="L47" i="76"/>
  <c r="H47" i="76"/>
  <c r="D47" i="76"/>
  <c r="B47" i="76"/>
  <c r="Z46" i="76"/>
  <c r="X46" i="76"/>
  <c r="V46" i="76"/>
  <c r="N46" i="76"/>
  <c r="L46" i="76"/>
  <c r="B46" i="76"/>
  <c r="Z45" i="76"/>
  <c r="X45" i="76"/>
  <c r="N45" i="76"/>
  <c r="L45" i="76"/>
  <c r="B45" i="76"/>
  <c r="Z44" i="76"/>
  <c r="X44" i="76"/>
  <c r="N44" i="76"/>
  <c r="L44" i="76"/>
  <c r="B44" i="76"/>
  <c r="X43" i="76"/>
  <c r="Z43" i="76" s="1"/>
  <c r="N43" i="76"/>
  <c r="L43" i="76"/>
  <c r="J43" i="76"/>
  <c r="B43" i="76"/>
  <c r="Z42" i="76"/>
  <c r="X42" i="76"/>
  <c r="N42" i="76"/>
  <c r="L42" i="76"/>
  <c r="B42" i="76"/>
  <c r="X41" i="76"/>
  <c r="Z41" i="76" s="1"/>
  <c r="L41" i="76"/>
  <c r="N41" i="76" s="1"/>
  <c r="B41" i="76"/>
  <c r="Z40" i="76"/>
  <c r="X40" i="76"/>
  <c r="N40" i="76"/>
  <c r="L40" i="76"/>
  <c r="B40" i="76"/>
  <c r="Z39" i="76"/>
  <c r="X39" i="76"/>
  <c r="V39" i="76"/>
  <c r="N39" i="76"/>
  <c r="L39" i="76"/>
  <c r="B39" i="76"/>
  <c r="X38" i="76"/>
  <c r="Z38" i="76" s="1"/>
  <c r="V38" i="76"/>
  <c r="N38" i="76"/>
  <c r="L38" i="76"/>
  <c r="B38" i="76"/>
  <c r="Z37" i="76"/>
  <c r="X37" i="76"/>
  <c r="N37" i="76"/>
  <c r="L37" i="76"/>
  <c r="B37" i="76"/>
  <c r="Z36" i="76"/>
  <c r="T36" i="76"/>
  <c r="P36" i="76"/>
  <c r="X36" i="76" s="1"/>
  <c r="L36" i="76"/>
  <c r="N36" i="76" s="1"/>
  <c r="J36" i="76"/>
  <c r="H36" i="76"/>
  <c r="D36" i="76"/>
  <c r="B36" i="76"/>
  <c r="Z35" i="76"/>
  <c r="X35" i="76"/>
  <c r="V35" i="76"/>
  <c r="N35" i="76"/>
  <c r="L35" i="76"/>
  <c r="B35" i="76"/>
  <c r="X34" i="76"/>
  <c r="Z34" i="76" s="1"/>
  <c r="V34" i="76"/>
  <c r="N34" i="76"/>
  <c r="L34" i="76"/>
  <c r="B34" i="76"/>
  <c r="Z33" i="76"/>
  <c r="X33" i="76"/>
  <c r="L33" i="76"/>
  <c r="N33" i="76" s="1"/>
  <c r="B33" i="76"/>
  <c r="Z32" i="76"/>
  <c r="X32" i="76"/>
  <c r="N32" i="76"/>
  <c r="L32" i="76"/>
  <c r="F32" i="76"/>
  <c r="B32" i="76"/>
  <c r="X31" i="76"/>
  <c r="Z31" i="76" s="1"/>
  <c r="L31" i="76"/>
  <c r="N31" i="76" s="1"/>
  <c r="B31" i="76"/>
  <c r="Z30" i="76"/>
  <c r="X30" i="76"/>
  <c r="L30" i="76"/>
  <c r="N30" i="76" s="1"/>
  <c r="B30" i="76"/>
  <c r="X29" i="76"/>
  <c r="Z29" i="76" s="1"/>
  <c r="N29" i="76"/>
  <c r="L29" i="76"/>
  <c r="B29" i="76"/>
  <c r="X28" i="76"/>
  <c r="Z28" i="76" s="1"/>
  <c r="N28" i="76"/>
  <c r="L28" i="76"/>
  <c r="B28" i="76"/>
  <c r="X27" i="76"/>
  <c r="Z27" i="76" s="1"/>
  <c r="V27" i="76"/>
  <c r="L27" i="76"/>
  <c r="N27" i="76" s="1"/>
  <c r="B27" i="76"/>
  <c r="X26" i="76"/>
  <c r="V26" i="76"/>
  <c r="T26" i="76"/>
  <c r="Z26" i="76" s="1"/>
  <c r="P26" i="76"/>
  <c r="H26" i="76"/>
  <c r="D26" i="76"/>
  <c r="L26" i="76" s="1"/>
  <c r="B26" i="76"/>
  <c r="T25" i="76" a="1"/>
  <c r="T25" i="76"/>
  <c r="P25" i="76" a="1"/>
  <c r="P25" i="76" s="1"/>
  <c r="X25" i="76" s="1"/>
  <c r="H25" i="76" a="1"/>
  <c r="H25" i="76"/>
  <c r="D25" i="76" a="1"/>
  <c r="D25" i="76" s="1"/>
  <c r="L25" i="76" s="1"/>
  <c r="T23" i="76"/>
  <c r="Z21" i="76"/>
  <c r="X21" i="76"/>
  <c r="V21" i="76"/>
  <c r="N21" i="76"/>
  <c r="L21" i="76"/>
  <c r="B21" i="76"/>
  <c r="Z20" i="76"/>
  <c r="X20" i="76"/>
  <c r="N20" i="76"/>
  <c r="L20" i="76"/>
  <c r="B20" i="76"/>
  <c r="Z19" i="76"/>
  <c r="X19" i="76"/>
  <c r="L19" i="76"/>
  <c r="N19" i="76" s="1"/>
  <c r="B19" i="76"/>
  <c r="T18" i="76"/>
  <c r="P18" i="76"/>
  <c r="X18" i="76" s="1"/>
  <c r="N18" i="76"/>
  <c r="L18" i="76"/>
  <c r="H18" i="76"/>
  <c r="D18" i="76"/>
  <c r="Z16" i="76"/>
  <c r="X16" i="76"/>
  <c r="P16" i="76"/>
  <c r="N16" i="76"/>
  <c r="D16" i="76"/>
  <c r="L16" i="76" s="1"/>
  <c r="B16" i="76"/>
  <c r="P15" i="76"/>
  <c r="X15" i="76" s="1"/>
  <c r="Z15" i="76" s="1"/>
  <c r="N15" i="76"/>
  <c r="L15" i="76"/>
  <c r="D15" i="76"/>
  <c r="B15" i="76"/>
  <c r="Z14" i="76"/>
  <c r="P14" i="76"/>
  <c r="X14" i="76" s="1"/>
  <c r="N14" i="76"/>
  <c r="L14" i="76"/>
  <c r="D14" i="76"/>
  <c r="B14" i="76"/>
  <c r="X13" i="76"/>
  <c r="Z13" i="76" s="1"/>
  <c r="P13" i="76"/>
  <c r="D13" i="76"/>
  <c r="D12" i="76" s="1"/>
  <c r="B13" i="76"/>
  <c r="T12" i="76"/>
  <c r="H12" i="76"/>
  <c r="J85" i="76" s="1"/>
  <c r="D6" i="76"/>
  <c r="D4" i="76"/>
  <c r="X34" i="75"/>
  <c r="Z34" i="75" s="1"/>
  <c r="R34" i="75"/>
  <c r="N34" i="75"/>
  <c r="L34" i="75"/>
  <c r="Z30" i="75"/>
  <c r="X30" i="75"/>
  <c r="T30" i="75"/>
  <c r="P30" i="75"/>
  <c r="L30" i="75"/>
  <c r="H30" i="75"/>
  <c r="N30" i="75" s="1"/>
  <c r="D30" i="75"/>
  <c r="Z28" i="75"/>
  <c r="X28" i="75"/>
  <c r="R28" i="75"/>
  <c r="N28" i="75"/>
  <c r="L28" i="75"/>
  <c r="B28" i="75"/>
  <c r="V27" i="75"/>
  <c r="T27" i="75"/>
  <c r="P27" i="75"/>
  <c r="H27" i="75"/>
  <c r="N27" i="75" s="1"/>
  <c r="D27" i="75"/>
  <c r="L27" i="75" s="1"/>
  <c r="B27" i="75"/>
  <c r="X26" i="75"/>
  <c r="Z26" i="75" s="1"/>
  <c r="L26" i="75"/>
  <c r="N26" i="75" s="1"/>
  <c r="B26" i="75"/>
  <c r="T25" i="75"/>
  <c r="P25" i="75"/>
  <c r="H25" i="75"/>
  <c r="D25" i="75"/>
  <c r="L25" i="75" s="1"/>
  <c r="N25" i="75" s="1"/>
  <c r="B25" i="75"/>
  <c r="T24" i="75" a="1"/>
  <c r="T24" i="75" s="1"/>
  <c r="P24" i="75" a="1"/>
  <c r="P24" i="75"/>
  <c r="H24" i="75" a="1"/>
  <c r="H24" i="75" s="1"/>
  <c r="D24" i="75" a="1"/>
  <c r="D24" i="75"/>
  <c r="Z20" i="75"/>
  <c r="X20" i="75"/>
  <c r="V20" i="75"/>
  <c r="R20" i="75"/>
  <c r="N20" i="75"/>
  <c r="L20" i="75"/>
  <c r="B20" i="75"/>
  <c r="Z19" i="75"/>
  <c r="X19" i="75"/>
  <c r="V19" i="75"/>
  <c r="R19" i="75"/>
  <c r="N19" i="75"/>
  <c r="L19" i="75"/>
  <c r="B19" i="75"/>
  <c r="X18" i="75"/>
  <c r="Z18" i="75" s="1"/>
  <c r="V18" i="75"/>
  <c r="R18" i="75"/>
  <c r="L18" i="75"/>
  <c r="N18" i="75" s="1"/>
  <c r="B18" i="75"/>
  <c r="X17" i="75"/>
  <c r="Z17" i="75" s="1"/>
  <c r="V17" i="75"/>
  <c r="T17" i="75"/>
  <c r="P17" i="75"/>
  <c r="J17" i="75"/>
  <c r="H17" i="75"/>
  <c r="D17" i="75"/>
  <c r="Z15" i="75"/>
  <c r="X15" i="75"/>
  <c r="P15" i="75"/>
  <c r="N15" i="75"/>
  <c r="D15" i="75"/>
  <c r="D12" i="75" s="1"/>
  <c r="B15" i="75"/>
  <c r="Z14" i="75"/>
  <c r="P14" i="75"/>
  <c r="X14" i="75" s="1"/>
  <c r="N14" i="75"/>
  <c r="L14" i="75"/>
  <c r="D14" i="75"/>
  <c r="B14" i="75"/>
  <c r="Z13" i="75"/>
  <c r="X13" i="75"/>
  <c r="P13" i="75"/>
  <c r="D13" i="75"/>
  <c r="L13" i="75" s="1"/>
  <c r="N13" i="75" s="1"/>
  <c r="B13" i="75"/>
  <c r="Z12" i="75"/>
  <c r="X12" i="75"/>
  <c r="T12" i="75"/>
  <c r="T22" i="75" s="1"/>
  <c r="P12" i="75"/>
  <c r="R17" i="75" s="1"/>
  <c r="H12" i="75"/>
  <c r="D6" i="75"/>
  <c r="D4" i="75"/>
  <c r="X92" i="74"/>
  <c r="Z92" i="74" s="1"/>
  <c r="N92" i="74"/>
  <c r="L92" i="74"/>
  <c r="Z88" i="74"/>
  <c r="X88" i="74"/>
  <c r="T88" i="74"/>
  <c r="P88" i="74"/>
  <c r="J88" i="74"/>
  <c r="H88" i="74"/>
  <c r="N88" i="74" s="1"/>
  <c r="D88" i="74"/>
  <c r="X86" i="74"/>
  <c r="Z86" i="74" s="1"/>
  <c r="N86" i="74"/>
  <c r="L86" i="74"/>
  <c r="J86" i="74"/>
  <c r="B86" i="74"/>
  <c r="T85" i="74"/>
  <c r="P85" i="74"/>
  <c r="X85" i="74" s="1"/>
  <c r="Z85" i="74" s="1"/>
  <c r="H85" i="74"/>
  <c r="L85" i="74" s="1"/>
  <c r="N85" i="74" s="1"/>
  <c r="D85" i="74"/>
  <c r="B85" i="74"/>
  <c r="Z84" i="74"/>
  <c r="X84" i="74"/>
  <c r="L84" i="74"/>
  <c r="N84" i="74" s="1"/>
  <c r="B84" i="74"/>
  <c r="Z83" i="74"/>
  <c r="X83" i="74"/>
  <c r="N83" i="74"/>
  <c r="L83" i="74"/>
  <c r="B83" i="74"/>
  <c r="T82" i="74"/>
  <c r="P82" i="74"/>
  <c r="L82" i="74"/>
  <c r="N82" i="74" s="1"/>
  <c r="H82" i="74"/>
  <c r="D82" i="74"/>
  <c r="B82" i="74"/>
  <c r="X81" i="74"/>
  <c r="Z81" i="74" s="1"/>
  <c r="N81" i="74"/>
  <c r="L81" i="74"/>
  <c r="B81" i="74"/>
  <c r="Z80" i="74"/>
  <c r="X80" i="74"/>
  <c r="T80" i="74"/>
  <c r="P80" i="74"/>
  <c r="H80" i="74"/>
  <c r="D80" i="74"/>
  <c r="B80" i="74"/>
  <c r="Z79" i="74"/>
  <c r="X79" i="74"/>
  <c r="N79" i="74"/>
  <c r="L79" i="74"/>
  <c r="B79" i="74"/>
  <c r="Z78" i="74"/>
  <c r="X78" i="74"/>
  <c r="V78" i="74"/>
  <c r="L78" i="74"/>
  <c r="N78" i="74" s="1"/>
  <c r="B78" i="74"/>
  <c r="X77" i="74"/>
  <c r="Z77" i="74" s="1"/>
  <c r="V77" i="74"/>
  <c r="N77" i="74"/>
  <c r="L77" i="74"/>
  <c r="B77" i="74"/>
  <c r="X76" i="74"/>
  <c r="Z76" i="74" s="1"/>
  <c r="T76" i="74"/>
  <c r="P76" i="74"/>
  <c r="J76" i="74"/>
  <c r="H76" i="74"/>
  <c r="D76" i="74"/>
  <c r="L76" i="74" s="1"/>
  <c r="B76" i="74"/>
  <c r="Z75" i="74"/>
  <c r="X75" i="74"/>
  <c r="N75" i="74"/>
  <c r="L75" i="74"/>
  <c r="B75" i="74"/>
  <c r="Z74" i="74"/>
  <c r="X74" i="74"/>
  <c r="N74" i="74"/>
  <c r="L74" i="74"/>
  <c r="B74" i="74"/>
  <c r="X73" i="74"/>
  <c r="V73" i="74"/>
  <c r="T73" i="74"/>
  <c r="Z73" i="74" s="1"/>
  <c r="P73" i="74"/>
  <c r="H73" i="74"/>
  <c r="D73" i="74"/>
  <c r="B73" i="74"/>
  <c r="Z72" i="74"/>
  <c r="X72" i="74"/>
  <c r="N72" i="74"/>
  <c r="L72" i="74"/>
  <c r="B72" i="74"/>
  <c r="Z71" i="74"/>
  <c r="X71" i="74"/>
  <c r="N71" i="74"/>
  <c r="L71" i="74"/>
  <c r="B71" i="74"/>
  <c r="T70" i="74"/>
  <c r="P70" i="74"/>
  <c r="H70" i="74"/>
  <c r="D70" i="74"/>
  <c r="L70" i="74" s="1"/>
  <c r="N70" i="74" s="1"/>
  <c r="B70" i="74"/>
  <c r="Z69" i="74"/>
  <c r="X69" i="74"/>
  <c r="N69" i="74"/>
  <c r="L69" i="74"/>
  <c r="J69" i="74"/>
  <c r="B69" i="74"/>
  <c r="X68" i="74"/>
  <c r="Z68" i="74" s="1"/>
  <c r="N68" i="74"/>
  <c r="L68" i="74"/>
  <c r="B68" i="74"/>
  <c r="T67" i="74"/>
  <c r="P67" i="74"/>
  <c r="H67" i="74"/>
  <c r="D67" i="74"/>
  <c r="L67" i="74" s="1"/>
  <c r="N67" i="74" s="1"/>
  <c r="B67" i="74"/>
  <c r="X66" i="74"/>
  <c r="Z66" i="74" s="1"/>
  <c r="L66" i="74"/>
  <c r="N66" i="74" s="1"/>
  <c r="J66" i="74"/>
  <c r="B66" i="74"/>
  <c r="T65" i="74"/>
  <c r="P65" i="74"/>
  <c r="X65" i="74" s="1"/>
  <c r="Z65" i="74" s="1"/>
  <c r="N65" i="74"/>
  <c r="H65" i="74"/>
  <c r="D65" i="74"/>
  <c r="L65" i="74" s="1"/>
  <c r="B65" i="74"/>
  <c r="Z64" i="74"/>
  <c r="X64" i="74"/>
  <c r="N64" i="74"/>
  <c r="L64" i="74"/>
  <c r="B64" i="74"/>
  <c r="Z63" i="74"/>
  <c r="T63" i="74"/>
  <c r="P63" i="74"/>
  <c r="X63" i="74" s="1"/>
  <c r="N63" i="74"/>
  <c r="L63" i="74"/>
  <c r="J63" i="74"/>
  <c r="H63" i="74"/>
  <c r="D63" i="74"/>
  <c r="B63" i="74"/>
  <c r="X62" i="74"/>
  <c r="Z62" i="74" s="1"/>
  <c r="L62" i="74"/>
  <c r="N62" i="74" s="1"/>
  <c r="B62" i="74"/>
  <c r="X61" i="74"/>
  <c r="V61" i="74"/>
  <c r="T61" i="74"/>
  <c r="Z61" i="74" s="1"/>
  <c r="P61" i="74"/>
  <c r="H61" i="74"/>
  <c r="D61" i="74"/>
  <c r="B61" i="74"/>
  <c r="X60" i="74"/>
  <c r="Z60" i="74" s="1"/>
  <c r="N60" i="74"/>
  <c r="L60" i="74"/>
  <c r="B60" i="74"/>
  <c r="T59" i="74"/>
  <c r="P59" i="74"/>
  <c r="H59" i="74"/>
  <c r="D59" i="74"/>
  <c r="L59" i="74" s="1"/>
  <c r="N59" i="74" s="1"/>
  <c r="B59" i="74"/>
  <c r="Z58" i="74"/>
  <c r="X58" i="74"/>
  <c r="N58" i="74"/>
  <c r="L58" i="74"/>
  <c r="J58" i="74"/>
  <c r="B58" i="74"/>
  <c r="Z57" i="74"/>
  <c r="X57" i="74"/>
  <c r="N57" i="74"/>
  <c r="L57" i="74"/>
  <c r="J57" i="74"/>
  <c r="B57" i="74"/>
  <c r="T56" i="74"/>
  <c r="P56" i="74"/>
  <c r="X56" i="74" s="1"/>
  <c r="Z56" i="74" s="1"/>
  <c r="H56" i="74"/>
  <c r="N56" i="74" s="1"/>
  <c r="D56" i="74"/>
  <c r="B56" i="74"/>
  <c r="Z55" i="74"/>
  <c r="X55" i="74"/>
  <c r="N55" i="74"/>
  <c r="L55" i="74"/>
  <c r="B55" i="74"/>
  <c r="T54" i="74"/>
  <c r="P54" i="74"/>
  <c r="N54" i="74"/>
  <c r="L54" i="74"/>
  <c r="H54" i="74"/>
  <c r="D54" i="74"/>
  <c r="B54" i="74"/>
  <c r="X53" i="74"/>
  <c r="Z53" i="74" s="1"/>
  <c r="N53" i="74"/>
  <c r="L53" i="74"/>
  <c r="B53" i="74"/>
  <c r="X52" i="74"/>
  <c r="Z52" i="74" s="1"/>
  <c r="T52" i="74"/>
  <c r="P52" i="74"/>
  <c r="H52" i="74"/>
  <c r="D52" i="74"/>
  <c r="B52" i="74"/>
  <c r="Z51" i="74"/>
  <c r="X51" i="74"/>
  <c r="N51" i="74"/>
  <c r="L51" i="74"/>
  <c r="B51" i="74"/>
  <c r="T50" i="74"/>
  <c r="P50" i="74"/>
  <c r="X50" i="74" s="1"/>
  <c r="H50" i="74"/>
  <c r="D50" i="74"/>
  <c r="L50" i="74" s="1"/>
  <c r="B50" i="74"/>
  <c r="Z49" i="74"/>
  <c r="X49" i="74"/>
  <c r="L49" i="74"/>
  <c r="N49" i="74" s="1"/>
  <c r="J49" i="74"/>
  <c r="B49" i="74"/>
  <c r="T48" i="74"/>
  <c r="Z48" i="74" s="1"/>
  <c r="P48" i="74"/>
  <c r="X48" i="74" s="1"/>
  <c r="H48" i="74"/>
  <c r="D48" i="74"/>
  <c r="B48" i="74"/>
  <c r="Z47" i="74"/>
  <c r="X47" i="74"/>
  <c r="N47" i="74"/>
  <c r="L47" i="74"/>
  <c r="B47" i="74"/>
  <c r="Z46" i="74"/>
  <c r="X46" i="74"/>
  <c r="N46" i="74"/>
  <c r="L46" i="74"/>
  <c r="J46" i="74"/>
  <c r="B46" i="74"/>
  <c r="X45" i="74"/>
  <c r="Z45" i="74" s="1"/>
  <c r="L45" i="74"/>
  <c r="N45" i="74" s="1"/>
  <c r="J45" i="74"/>
  <c r="B45" i="74"/>
  <c r="X44" i="74"/>
  <c r="Z44" i="74" s="1"/>
  <c r="N44" i="74"/>
  <c r="L44" i="74"/>
  <c r="B44" i="74"/>
  <c r="Z43" i="74"/>
  <c r="X43" i="74"/>
  <c r="N43" i="74"/>
  <c r="L43" i="74"/>
  <c r="B43" i="74"/>
  <c r="Z42" i="74"/>
  <c r="X42" i="74"/>
  <c r="V42" i="74"/>
  <c r="N42" i="74"/>
  <c r="L42" i="74"/>
  <c r="B42" i="74"/>
  <c r="X41" i="74"/>
  <c r="Z41" i="74" s="1"/>
  <c r="V41" i="74"/>
  <c r="L41" i="74"/>
  <c r="N41" i="74" s="1"/>
  <c r="B41" i="74"/>
  <c r="Z40" i="74"/>
  <c r="X40" i="74"/>
  <c r="N40" i="74"/>
  <c r="L40" i="74"/>
  <c r="B40" i="74"/>
  <c r="Z39" i="74"/>
  <c r="X39" i="74"/>
  <c r="N39" i="74"/>
  <c r="L39" i="74"/>
  <c r="B39" i="74"/>
  <c r="Z38" i="74"/>
  <c r="X38" i="74"/>
  <c r="N38" i="74"/>
  <c r="L38" i="74"/>
  <c r="J38" i="74"/>
  <c r="B38" i="74"/>
  <c r="T37" i="74"/>
  <c r="P37" i="74"/>
  <c r="X37" i="74" s="1"/>
  <c r="N37" i="74"/>
  <c r="H37" i="74"/>
  <c r="D37" i="74"/>
  <c r="L37" i="74" s="1"/>
  <c r="B37" i="74"/>
  <c r="Z36" i="74"/>
  <c r="X36" i="74"/>
  <c r="N36" i="74"/>
  <c r="L36" i="74"/>
  <c r="B36" i="74"/>
  <c r="Z35" i="74"/>
  <c r="X35" i="74"/>
  <c r="N35" i="74"/>
  <c r="L35" i="74"/>
  <c r="B35" i="74"/>
  <c r="Z34" i="74"/>
  <c r="X34" i="74"/>
  <c r="N34" i="74"/>
  <c r="L34" i="74"/>
  <c r="J34" i="74"/>
  <c r="B34" i="74"/>
  <c r="Z33" i="74"/>
  <c r="X33" i="74"/>
  <c r="N33" i="74"/>
  <c r="L33" i="74"/>
  <c r="J33" i="74"/>
  <c r="B33" i="74"/>
  <c r="X32" i="74"/>
  <c r="Z32" i="74" s="1"/>
  <c r="L32" i="74"/>
  <c r="N32" i="74" s="1"/>
  <c r="B32" i="74"/>
  <c r="Z31" i="74"/>
  <c r="X31" i="74"/>
  <c r="N31" i="74"/>
  <c r="L31" i="74"/>
  <c r="B31" i="74"/>
  <c r="X30" i="74"/>
  <c r="Z30" i="74" s="1"/>
  <c r="V30" i="74"/>
  <c r="N30" i="74"/>
  <c r="L30" i="74"/>
  <c r="B30" i="74"/>
  <c r="X29" i="74"/>
  <c r="Z29" i="74" s="1"/>
  <c r="L29" i="74"/>
  <c r="N29" i="74" s="1"/>
  <c r="B29" i="74"/>
  <c r="Z28" i="74"/>
  <c r="X28" i="74"/>
  <c r="L28" i="74"/>
  <c r="N28" i="74" s="1"/>
  <c r="B28" i="74"/>
  <c r="T27" i="74"/>
  <c r="P27" i="74"/>
  <c r="X27" i="74" s="1"/>
  <c r="Z27" i="74" s="1"/>
  <c r="L27" i="74"/>
  <c r="J27" i="74"/>
  <c r="H27" i="74"/>
  <c r="N27" i="74" s="1"/>
  <c r="D27" i="74"/>
  <c r="B27" i="74"/>
  <c r="T26" i="74" a="1"/>
  <c r="T26" i="74" s="1"/>
  <c r="P26" i="74" a="1"/>
  <c r="P26" i="74" s="1"/>
  <c r="X26" i="74" s="1"/>
  <c r="H26" i="74" a="1"/>
  <c r="H26" i="74" s="1"/>
  <c r="D26" i="74" a="1"/>
  <c r="D26" i="74" s="1"/>
  <c r="Z22" i="74"/>
  <c r="X22" i="74"/>
  <c r="N22" i="74"/>
  <c r="L22" i="74"/>
  <c r="J22" i="74"/>
  <c r="B22" i="74"/>
  <c r="Z21" i="74"/>
  <c r="X21" i="74"/>
  <c r="N21" i="74"/>
  <c r="L21" i="74"/>
  <c r="J21" i="74"/>
  <c r="B21" i="74"/>
  <c r="Z20" i="74"/>
  <c r="X20" i="74"/>
  <c r="N20" i="74"/>
  <c r="L20" i="74"/>
  <c r="B20" i="74"/>
  <c r="Z19" i="74"/>
  <c r="X19" i="74"/>
  <c r="N19" i="74"/>
  <c r="L19" i="74"/>
  <c r="B19" i="74"/>
  <c r="T18" i="74"/>
  <c r="P18" i="74"/>
  <c r="X18" i="74" s="1"/>
  <c r="H18" i="74"/>
  <c r="D18" i="74"/>
  <c r="L18" i="74" s="1"/>
  <c r="N18" i="74" s="1"/>
  <c r="Z16" i="74"/>
  <c r="P16" i="74"/>
  <c r="X16" i="74" s="1"/>
  <c r="N16" i="74"/>
  <c r="D16" i="74"/>
  <c r="L16" i="74" s="1"/>
  <c r="B16" i="74"/>
  <c r="Z15" i="74"/>
  <c r="P15" i="74"/>
  <c r="X15" i="74" s="1"/>
  <c r="N15" i="74"/>
  <c r="L15" i="74"/>
  <c r="D15" i="74"/>
  <c r="B15" i="74"/>
  <c r="Z14" i="74"/>
  <c r="X14" i="74"/>
  <c r="P14" i="74"/>
  <c r="N14" i="74"/>
  <c r="L14" i="74"/>
  <c r="D14" i="74"/>
  <c r="B14" i="74"/>
  <c r="P13" i="74"/>
  <c r="P12" i="74" s="1"/>
  <c r="D13" i="74"/>
  <c r="D12" i="74" s="1"/>
  <c r="B13" i="74"/>
  <c r="T12" i="74"/>
  <c r="V62" i="74" s="1"/>
  <c r="H12" i="74"/>
  <c r="J92" i="74" s="1"/>
  <c r="D6" i="74"/>
  <c r="D4" i="74"/>
  <c r="X90" i="73"/>
  <c r="Z90" i="73" s="1"/>
  <c r="N90" i="73"/>
  <c r="L90" i="73"/>
  <c r="Z86" i="73"/>
  <c r="T86" i="73"/>
  <c r="P86" i="73"/>
  <c r="H86" i="73"/>
  <c r="N86" i="73" s="1"/>
  <c r="D86" i="73"/>
  <c r="Z84" i="73"/>
  <c r="X84" i="73"/>
  <c r="N84" i="73"/>
  <c r="L84" i="73"/>
  <c r="B84" i="73"/>
  <c r="Z83" i="73"/>
  <c r="T83" i="73"/>
  <c r="X83" i="73" s="1"/>
  <c r="P83" i="73"/>
  <c r="L83" i="73"/>
  <c r="H83" i="73"/>
  <c r="N83" i="73" s="1"/>
  <c r="D83" i="73"/>
  <c r="B83" i="73"/>
  <c r="Z82" i="73"/>
  <c r="X82" i="73"/>
  <c r="R82" i="73"/>
  <c r="N82" i="73"/>
  <c r="L82" i="73"/>
  <c r="B82" i="73"/>
  <c r="X81" i="73"/>
  <c r="V81" i="73"/>
  <c r="T81" i="73"/>
  <c r="Z81" i="73" s="1"/>
  <c r="P81" i="73"/>
  <c r="H81" i="73"/>
  <c r="D81" i="73"/>
  <c r="B81" i="73"/>
  <c r="Z80" i="73"/>
  <c r="X80" i="73"/>
  <c r="N80" i="73"/>
  <c r="L80" i="73"/>
  <c r="B80" i="73"/>
  <c r="Z79" i="73"/>
  <c r="X79" i="73"/>
  <c r="R79" i="73"/>
  <c r="N79" i="73"/>
  <c r="L79" i="73"/>
  <c r="B79" i="73"/>
  <c r="T78" i="73"/>
  <c r="P78" i="73"/>
  <c r="H78" i="73"/>
  <c r="D78" i="73"/>
  <c r="L78" i="73" s="1"/>
  <c r="N78" i="73" s="1"/>
  <c r="B78" i="73"/>
  <c r="X77" i="73"/>
  <c r="Z77" i="73" s="1"/>
  <c r="L77" i="73"/>
  <c r="N77" i="73" s="1"/>
  <c r="B77" i="73"/>
  <c r="Z76" i="73"/>
  <c r="X76" i="73"/>
  <c r="L76" i="73"/>
  <c r="N76" i="73" s="1"/>
  <c r="B76" i="73"/>
  <c r="Z75" i="73"/>
  <c r="X75" i="73"/>
  <c r="R75" i="73"/>
  <c r="N75" i="73"/>
  <c r="L75" i="73"/>
  <c r="B75" i="73"/>
  <c r="Z74" i="73"/>
  <c r="X74" i="73"/>
  <c r="R74" i="73"/>
  <c r="L74" i="73"/>
  <c r="N74" i="73" s="1"/>
  <c r="B74" i="73"/>
  <c r="X73" i="73"/>
  <c r="Z73" i="73" s="1"/>
  <c r="L73" i="73"/>
  <c r="N73" i="73" s="1"/>
  <c r="B73" i="73"/>
  <c r="X72" i="73"/>
  <c r="Z72" i="73" s="1"/>
  <c r="T72" i="73"/>
  <c r="P72" i="73"/>
  <c r="H72" i="73"/>
  <c r="D72" i="73"/>
  <c r="L72" i="73" s="1"/>
  <c r="B72" i="73"/>
  <c r="Z71" i="73"/>
  <c r="X71" i="73"/>
  <c r="R71" i="73"/>
  <c r="N71" i="73"/>
  <c r="L71" i="73"/>
  <c r="B71" i="73"/>
  <c r="Z70" i="73"/>
  <c r="X70" i="73"/>
  <c r="R70" i="73"/>
  <c r="N70" i="73"/>
  <c r="L70" i="73"/>
  <c r="B70" i="73"/>
  <c r="X69" i="73"/>
  <c r="Z69" i="73" s="1"/>
  <c r="V69" i="73"/>
  <c r="L69" i="73"/>
  <c r="N69" i="73" s="1"/>
  <c r="B69" i="73"/>
  <c r="Z68" i="73"/>
  <c r="X68" i="73"/>
  <c r="T68" i="73"/>
  <c r="P68" i="73"/>
  <c r="H68" i="73"/>
  <c r="D68" i="73"/>
  <c r="B68" i="73"/>
  <c r="Z67" i="73"/>
  <c r="X67" i="73"/>
  <c r="R67" i="73"/>
  <c r="N67" i="73"/>
  <c r="L67" i="73"/>
  <c r="B67" i="73"/>
  <c r="Z66" i="73"/>
  <c r="X66" i="73"/>
  <c r="R66" i="73"/>
  <c r="N66" i="73"/>
  <c r="L66" i="73"/>
  <c r="B66" i="73"/>
  <c r="X65" i="73"/>
  <c r="Z65" i="73" s="1"/>
  <c r="V65" i="73"/>
  <c r="N65" i="73"/>
  <c r="L65" i="73"/>
  <c r="B65" i="73"/>
  <c r="X64" i="73"/>
  <c r="Z64" i="73" s="1"/>
  <c r="T64" i="73"/>
  <c r="P64" i="73"/>
  <c r="J64" i="73"/>
  <c r="H64" i="73"/>
  <c r="D64" i="73"/>
  <c r="L64" i="73" s="1"/>
  <c r="B64" i="73"/>
  <c r="Z63" i="73"/>
  <c r="X63" i="73"/>
  <c r="R63" i="73"/>
  <c r="N63" i="73"/>
  <c r="L63" i="73"/>
  <c r="B63" i="73"/>
  <c r="T62" i="73"/>
  <c r="P62" i="73"/>
  <c r="X62" i="73" s="1"/>
  <c r="H62" i="73"/>
  <c r="D62" i="73"/>
  <c r="L62" i="73" s="1"/>
  <c r="N62" i="73" s="1"/>
  <c r="B62" i="73"/>
  <c r="X61" i="73"/>
  <c r="Z61" i="73" s="1"/>
  <c r="L61" i="73"/>
  <c r="N61" i="73" s="1"/>
  <c r="B61" i="73"/>
  <c r="T60" i="73"/>
  <c r="P60" i="73"/>
  <c r="H60" i="73"/>
  <c r="N60" i="73" s="1"/>
  <c r="D60" i="73"/>
  <c r="L60" i="73" s="1"/>
  <c r="B60" i="73"/>
  <c r="Z59" i="73"/>
  <c r="X59" i="73"/>
  <c r="N59" i="73"/>
  <c r="L59" i="73"/>
  <c r="B59" i="73"/>
  <c r="T58" i="73"/>
  <c r="P58" i="73"/>
  <c r="X58" i="73" s="1"/>
  <c r="N58" i="73"/>
  <c r="L58" i="73"/>
  <c r="H58" i="73"/>
  <c r="D58" i="73"/>
  <c r="B58" i="73"/>
  <c r="X57" i="73"/>
  <c r="Z57" i="73" s="1"/>
  <c r="L57" i="73"/>
  <c r="N57" i="73" s="1"/>
  <c r="B57" i="73"/>
  <c r="X56" i="73"/>
  <c r="Z56" i="73" s="1"/>
  <c r="T56" i="73"/>
  <c r="P56" i="73"/>
  <c r="H56" i="73"/>
  <c r="D56" i="73"/>
  <c r="L56" i="73" s="1"/>
  <c r="B56" i="73"/>
  <c r="Z55" i="73"/>
  <c r="X55" i="73"/>
  <c r="R55" i="73"/>
  <c r="N55" i="73"/>
  <c r="L55" i="73"/>
  <c r="B55" i="73"/>
  <c r="T54" i="73"/>
  <c r="P54" i="73"/>
  <c r="X54" i="73" s="1"/>
  <c r="N54" i="73"/>
  <c r="H54" i="73"/>
  <c r="D54" i="73"/>
  <c r="L54" i="73" s="1"/>
  <c r="B54" i="73"/>
  <c r="X53" i="73"/>
  <c r="Z53" i="73" s="1"/>
  <c r="L53" i="73"/>
  <c r="N53" i="73" s="1"/>
  <c r="B53" i="73"/>
  <c r="Z52" i="73"/>
  <c r="X52" i="73"/>
  <c r="N52" i="73"/>
  <c r="L52" i="73"/>
  <c r="B52" i="73"/>
  <c r="T51" i="73"/>
  <c r="R51" i="73"/>
  <c r="P51" i="73"/>
  <c r="X51" i="73" s="1"/>
  <c r="H51" i="73"/>
  <c r="D51" i="73"/>
  <c r="L51" i="73" s="1"/>
  <c r="B51" i="73"/>
  <c r="Z50" i="73"/>
  <c r="X50" i="73"/>
  <c r="L50" i="73"/>
  <c r="N50" i="73" s="1"/>
  <c r="B50" i="73"/>
  <c r="T49" i="73"/>
  <c r="Z49" i="73" s="1"/>
  <c r="P49" i="73"/>
  <c r="X49" i="73" s="1"/>
  <c r="N49" i="73"/>
  <c r="H49" i="73"/>
  <c r="D49" i="73"/>
  <c r="L49" i="73" s="1"/>
  <c r="B49" i="73"/>
  <c r="Z48" i="73"/>
  <c r="X48" i="73"/>
  <c r="N48" i="73"/>
  <c r="L48" i="73"/>
  <c r="B48" i="73"/>
  <c r="Z47" i="73"/>
  <c r="T47" i="73"/>
  <c r="P47" i="73"/>
  <c r="X47" i="73" s="1"/>
  <c r="L47" i="73"/>
  <c r="H47" i="73"/>
  <c r="N47" i="73" s="1"/>
  <c r="D47" i="73"/>
  <c r="B47" i="73"/>
  <c r="Z46" i="73"/>
  <c r="X46" i="73"/>
  <c r="R46" i="73"/>
  <c r="N46" i="73"/>
  <c r="L46" i="73"/>
  <c r="B46" i="73"/>
  <c r="X45" i="73"/>
  <c r="T45" i="73"/>
  <c r="Z45" i="73" s="1"/>
  <c r="P45" i="73"/>
  <c r="H45" i="73"/>
  <c r="N45" i="73" s="1"/>
  <c r="D45" i="73"/>
  <c r="L45" i="73" s="1"/>
  <c r="B45" i="73"/>
  <c r="Z44" i="73"/>
  <c r="X44" i="73"/>
  <c r="N44" i="73"/>
  <c r="L44" i="73"/>
  <c r="B44" i="73"/>
  <c r="Z43" i="73"/>
  <c r="X43" i="73"/>
  <c r="R43" i="73"/>
  <c r="N43" i="73"/>
  <c r="L43" i="73"/>
  <c r="B43" i="73"/>
  <c r="Z42" i="73"/>
  <c r="X42" i="73"/>
  <c r="V42" i="73"/>
  <c r="R42" i="73"/>
  <c r="N42" i="73"/>
  <c r="L42" i="73"/>
  <c r="B42" i="73"/>
  <c r="Z41" i="73"/>
  <c r="X41" i="73"/>
  <c r="N41" i="73"/>
  <c r="L41" i="73"/>
  <c r="B41" i="73"/>
  <c r="Z40" i="73"/>
  <c r="X40" i="73"/>
  <c r="N40" i="73"/>
  <c r="L40" i="73"/>
  <c r="B40" i="73"/>
  <c r="Z39" i="73"/>
  <c r="X39" i="73"/>
  <c r="R39" i="73"/>
  <c r="N39" i="73"/>
  <c r="L39" i="73"/>
  <c r="B39" i="73"/>
  <c r="Z38" i="73"/>
  <c r="X38" i="73"/>
  <c r="N38" i="73"/>
  <c r="L38" i="73"/>
  <c r="B38" i="73"/>
  <c r="Z37" i="73"/>
  <c r="X37" i="73"/>
  <c r="N37" i="73"/>
  <c r="L37" i="73"/>
  <c r="J37" i="73"/>
  <c r="B37" i="73"/>
  <c r="Z36" i="73"/>
  <c r="X36" i="73"/>
  <c r="L36" i="73"/>
  <c r="N36" i="73" s="1"/>
  <c r="B36" i="73"/>
  <c r="Z35" i="73"/>
  <c r="X35" i="73"/>
  <c r="R35" i="73"/>
  <c r="N35" i="73"/>
  <c r="L35" i="73"/>
  <c r="B35" i="73"/>
  <c r="T34" i="73"/>
  <c r="P34" i="73"/>
  <c r="X34" i="73" s="1"/>
  <c r="H34" i="73"/>
  <c r="D34" i="73"/>
  <c r="L34" i="73" s="1"/>
  <c r="N34" i="73" s="1"/>
  <c r="B34" i="73"/>
  <c r="Z33" i="73"/>
  <c r="X33" i="73"/>
  <c r="N33" i="73"/>
  <c r="L33" i="73"/>
  <c r="B33" i="73"/>
  <c r="Z32" i="73"/>
  <c r="X32" i="73"/>
  <c r="L32" i="73"/>
  <c r="N32" i="73" s="1"/>
  <c r="B32" i="73"/>
  <c r="Z31" i="73"/>
  <c r="X31" i="73"/>
  <c r="R31" i="73"/>
  <c r="N31" i="73"/>
  <c r="L31" i="73"/>
  <c r="B31" i="73"/>
  <c r="Z30" i="73"/>
  <c r="X30" i="73"/>
  <c r="V30" i="73"/>
  <c r="R30" i="73"/>
  <c r="N30" i="73"/>
  <c r="L30" i="73"/>
  <c r="B30" i="73"/>
  <c r="X29" i="73"/>
  <c r="Z29" i="73" s="1"/>
  <c r="L29" i="73"/>
  <c r="N29" i="73" s="1"/>
  <c r="B29" i="73"/>
  <c r="Z28" i="73"/>
  <c r="X28" i="73"/>
  <c r="N28" i="73"/>
  <c r="L28" i="73"/>
  <c r="B28" i="73"/>
  <c r="Z27" i="73"/>
  <c r="X27" i="73"/>
  <c r="R27" i="73"/>
  <c r="N27" i="73"/>
  <c r="L27" i="73"/>
  <c r="B27" i="73"/>
  <c r="X26" i="73"/>
  <c r="Z26" i="73" s="1"/>
  <c r="L26" i="73"/>
  <c r="N26" i="73" s="1"/>
  <c r="B26" i="73"/>
  <c r="X25" i="73"/>
  <c r="Z25" i="73" s="1"/>
  <c r="L25" i="73"/>
  <c r="N25" i="73" s="1"/>
  <c r="B25" i="73"/>
  <c r="T24" i="73"/>
  <c r="P24" i="73"/>
  <c r="H24" i="73"/>
  <c r="N24" i="73" s="1"/>
  <c r="D24" i="73"/>
  <c r="L24" i="73" s="1"/>
  <c r="B24" i="73"/>
  <c r="T23" i="73" a="1"/>
  <c r="T23" i="73" s="1"/>
  <c r="Z23" i="73" s="1"/>
  <c r="P23" i="73" a="1"/>
  <c r="P23" i="73"/>
  <c r="X23" i="73" s="1"/>
  <c r="H23" i="73" a="1"/>
  <c r="H23" i="73" s="1"/>
  <c r="D23" i="73" a="1"/>
  <c r="D23" i="73"/>
  <c r="Z19" i="73"/>
  <c r="X19" i="73"/>
  <c r="R19" i="73"/>
  <c r="N19" i="73"/>
  <c r="L19" i="73"/>
  <c r="B19" i="73"/>
  <c r="Z18" i="73"/>
  <c r="X18" i="73"/>
  <c r="R18" i="73"/>
  <c r="N18" i="73"/>
  <c r="L18" i="73"/>
  <c r="B18" i="73"/>
  <c r="X17" i="73"/>
  <c r="Z17" i="73" s="1"/>
  <c r="V17" i="73"/>
  <c r="L17" i="73"/>
  <c r="N17" i="73" s="1"/>
  <c r="B17" i="73"/>
  <c r="X16" i="73"/>
  <c r="Z16" i="73" s="1"/>
  <c r="T16" i="73"/>
  <c r="R16" i="73"/>
  <c r="P16" i="73"/>
  <c r="J16" i="73"/>
  <c r="H16" i="73"/>
  <c r="D16" i="73"/>
  <c r="Z14" i="73"/>
  <c r="X14" i="73"/>
  <c r="P14" i="73"/>
  <c r="D14" i="73"/>
  <c r="L14" i="73" s="1"/>
  <c r="N14" i="73" s="1"/>
  <c r="B14" i="73"/>
  <c r="X13" i="73"/>
  <c r="Z13" i="73" s="1"/>
  <c r="P13" i="73"/>
  <c r="D13" i="73"/>
  <c r="L13" i="73" s="1"/>
  <c r="N13" i="73" s="1"/>
  <c r="B13" i="73"/>
  <c r="T12" i="73"/>
  <c r="V73" i="73" s="1"/>
  <c r="P12" i="73"/>
  <c r="H12" i="73"/>
  <c r="J33" i="73" s="1"/>
  <c r="D6" i="73"/>
  <c r="D4" i="73"/>
  <c r="Z27" i="72"/>
  <c r="X27" i="72"/>
  <c r="L27" i="72"/>
  <c r="N27" i="72" s="1"/>
  <c r="F27" i="72"/>
  <c r="X23" i="72"/>
  <c r="T23" i="72"/>
  <c r="Z23" i="72" s="1"/>
  <c r="P23" i="72"/>
  <c r="H23" i="72"/>
  <c r="N23" i="72" s="1"/>
  <c r="D23" i="72"/>
  <c r="L23" i="72" s="1"/>
  <c r="Z21" i="72"/>
  <c r="T21" i="72"/>
  <c r="P21" i="72"/>
  <c r="X21" i="72" s="1"/>
  <c r="L21" i="72"/>
  <c r="J21" i="72"/>
  <c r="H21" i="72"/>
  <c r="N21" i="72" s="1"/>
  <c r="D21" i="72"/>
  <c r="J19" i="72"/>
  <c r="H19" i="72"/>
  <c r="Z17" i="72"/>
  <c r="X17" i="72"/>
  <c r="L17" i="72"/>
  <c r="N17" i="72" s="1"/>
  <c r="B17" i="72"/>
  <c r="T16" i="72"/>
  <c r="P16" i="72"/>
  <c r="X16" i="72" s="1"/>
  <c r="L16" i="72"/>
  <c r="N16" i="72" s="1"/>
  <c r="H16" i="72"/>
  <c r="D16" i="72"/>
  <c r="Z14" i="72"/>
  <c r="P14" i="72"/>
  <c r="N14" i="72"/>
  <c r="L14" i="72"/>
  <c r="D14" i="72"/>
  <c r="B14" i="72"/>
  <c r="Z13" i="72"/>
  <c r="X13" i="72"/>
  <c r="P13" i="72"/>
  <c r="L13" i="72"/>
  <c r="N13" i="72" s="1"/>
  <c r="D13" i="72"/>
  <c r="D12" i="72" s="1"/>
  <c r="B13" i="72"/>
  <c r="T12" i="72"/>
  <c r="H12" i="72"/>
  <c r="J16" i="72" s="1"/>
  <c r="D6" i="72"/>
  <c r="D4" i="72"/>
  <c r="Z77" i="71"/>
  <c r="X77" i="71"/>
  <c r="N77" i="71"/>
  <c r="L77" i="71"/>
  <c r="J77" i="71"/>
  <c r="T73" i="71"/>
  <c r="P73" i="71"/>
  <c r="N73" i="71"/>
  <c r="L73" i="71"/>
  <c r="H73" i="71"/>
  <c r="D73" i="71"/>
  <c r="Z71" i="71"/>
  <c r="X71" i="71"/>
  <c r="N71" i="71"/>
  <c r="L71" i="71"/>
  <c r="B71" i="71"/>
  <c r="T70" i="71"/>
  <c r="P70" i="71"/>
  <c r="X70" i="71" s="1"/>
  <c r="N70" i="71"/>
  <c r="H70" i="71"/>
  <c r="L70" i="71" s="1"/>
  <c r="D70" i="71"/>
  <c r="B70" i="71"/>
  <c r="X69" i="71"/>
  <c r="Z69" i="71" s="1"/>
  <c r="V69" i="71"/>
  <c r="L69" i="71"/>
  <c r="N69" i="71" s="1"/>
  <c r="B69" i="71"/>
  <c r="T68" i="71"/>
  <c r="Z68" i="71" s="1"/>
  <c r="P68" i="71"/>
  <c r="X68" i="71" s="1"/>
  <c r="H68" i="71"/>
  <c r="D68" i="71"/>
  <c r="L68" i="71" s="1"/>
  <c r="B68" i="71"/>
  <c r="Z67" i="71"/>
  <c r="X67" i="71"/>
  <c r="V67" i="71"/>
  <c r="N67" i="71"/>
  <c r="L67" i="71"/>
  <c r="B67" i="71"/>
  <c r="Z66" i="71"/>
  <c r="X66" i="71"/>
  <c r="N66" i="71"/>
  <c r="L66" i="71"/>
  <c r="B66" i="71"/>
  <c r="Z65" i="71"/>
  <c r="X65" i="71"/>
  <c r="N65" i="71"/>
  <c r="L65" i="71"/>
  <c r="B65" i="71"/>
  <c r="Z64" i="71"/>
  <c r="X64" i="71"/>
  <c r="N64" i="71"/>
  <c r="L64" i="71"/>
  <c r="B64" i="71"/>
  <c r="T63" i="71"/>
  <c r="P63" i="71"/>
  <c r="H63" i="71"/>
  <c r="D63" i="71"/>
  <c r="B63" i="71"/>
  <c r="Z62" i="71"/>
  <c r="X62" i="71"/>
  <c r="N62" i="71"/>
  <c r="L62" i="71"/>
  <c r="B62" i="71"/>
  <c r="X61" i="71"/>
  <c r="Z61" i="71" s="1"/>
  <c r="V61" i="71"/>
  <c r="L61" i="71"/>
  <c r="N61" i="71" s="1"/>
  <c r="B61" i="71"/>
  <c r="X60" i="71"/>
  <c r="Z60" i="71" s="1"/>
  <c r="V60" i="71"/>
  <c r="T60" i="71"/>
  <c r="P60" i="71"/>
  <c r="H60" i="71"/>
  <c r="D60" i="71"/>
  <c r="B60" i="71"/>
  <c r="Z59" i="71"/>
  <c r="X59" i="71"/>
  <c r="N59" i="71"/>
  <c r="L59" i="71"/>
  <c r="B59" i="71"/>
  <c r="T58" i="71"/>
  <c r="P58" i="71"/>
  <c r="H58" i="71"/>
  <c r="N58" i="71" s="1"/>
  <c r="D58" i="71"/>
  <c r="L58" i="71" s="1"/>
  <c r="B58" i="71"/>
  <c r="X57" i="71"/>
  <c r="Z57" i="71" s="1"/>
  <c r="L57" i="71"/>
  <c r="N57" i="71" s="1"/>
  <c r="J57" i="71"/>
  <c r="B57" i="71"/>
  <c r="X56" i="71"/>
  <c r="Z56" i="71" s="1"/>
  <c r="N56" i="71"/>
  <c r="L56" i="71"/>
  <c r="J56" i="71"/>
  <c r="B56" i="71"/>
  <c r="T55" i="71"/>
  <c r="P55" i="71"/>
  <c r="X55" i="71" s="1"/>
  <c r="H55" i="71"/>
  <c r="D55" i="71"/>
  <c r="L55" i="71" s="1"/>
  <c r="N55" i="71" s="1"/>
  <c r="B55" i="71"/>
  <c r="Z54" i="71"/>
  <c r="X54" i="71"/>
  <c r="N54" i="71"/>
  <c r="L54" i="71"/>
  <c r="B54" i="71"/>
  <c r="T53" i="71"/>
  <c r="P53" i="71"/>
  <c r="X53" i="71" s="1"/>
  <c r="N53" i="71"/>
  <c r="L53" i="71"/>
  <c r="H53" i="71"/>
  <c r="D53" i="71"/>
  <c r="B53" i="71"/>
  <c r="X52" i="71"/>
  <c r="Z52" i="71" s="1"/>
  <c r="V52" i="71"/>
  <c r="L52" i="71"/>
  <c r="N52" i="71" s="1"/>
  <c r="B52" i="71"/>
  <c r="Z51" i="71"/>
  <c r="X51" i="71"/>
  <c r="T51" i="71"/>
  <c r="P51" i="71"/>
  <c r="J51" i="71"/>
  <c r="H51" i="71"/>
  <c r="D51" i="71"/>
  <c r="B51" i="71"/>
  <c r="X50" i="71"/>
  <c r="Z50" i="71" s="1"/>
  <c r="N50" i="71"/>
  <c r="L50" i="71"/>
  <c r="B50" i="71"/>
  <c r="T49" i="71"/>
  <c r="P49" i="71"/>
  <c r="H49" i="71"/>
  <c r="N49" i="71" s="1"/>
  <c r="D49" i="71"/>
  <c r="L49" i="71" s="1"/>
  <c r="B49" i="71"/>
  <c r="Z48" i="71"/>
  <c r="X48" i="71"/>
  <c r="N48" i="71"/>
  <c r="L48" i="71"/>
  <c r="J48" i="71"/>
  <c r="B48" i="71"/>
  <c r="T47" i="71"/>
  <c r="Z47" i="71" s="1"/>
  <c r="P47" i="71"/>
  <c r="X47" i="71" s="1"/>
  <c r="N47" i="71"/>
  <c r="H47" i="71"/>
  <c r="D47" i="71"/>
  <c r="L47" i="71" s="1"/>
  <c r="B47" i="71"/>
  <c r="Z46" i="71"/>
  <c r="X46" i="71"/>
  <c r="N46" i="71"/>
  <c r="L46" i="71"/>
  <c r="B46" i="71"/>
  <c r="T45" i="71"/>
  <c r="Z45" i="71" s="1"/>
  <c r="P45" i="71"/>
  <c r="X45" i="71" s="1"/>
  <c r="N45" i="71"/>
  <c r="L45" i="71"/>
  <c r="H45" i="71"/>
  <c r="D45" i="71"/>
  <c r="B45" i="71"/>
  <c r="Z44" i="71"/>
  <c r="X44" i="71"/>
  <c r="V44" i="71"/>
  <c r="N44" i="71"/>
  <c r="L44" i="71"/>
  <c r="B44" i="71"/>
  <c r="Z43" i="71"/>
  <c r="X43" i="71"/>
  <c r="N43" i="71"/>
  <c r="L43" i="71"/>
  <c r="B43" i="71"/>
  <c r="Z42" i="71"/>
  <c r="X42" i="71"/>
  <c r="L42" i="71"/>
  <c r="N42" i="71" s="1"/>
  <c r="B42" i="71"/>
  <c r="Z41" i="71"/>
  <c r="X41" i="71"/>
  <c r="N41" i="71"/>
  <c r="L41" i="71"/>
  <c r="J41" i="71"/>
  <c r="B41" i="71"/>
  <c r="Z40" i="71"/>
  <c r="X40" i="71"/>
  <c r="N40" i="71"/>
  <c r="L40" i="71"/>
  <c r="J40" i="71"/>
  <c r="B40" i="71"/>
  <c r="Z39" i="71"/>
  <c r="X39" i="71"/>
  <c r="N39" i="71"/>
  <c r="L39" i="71"/>
  <c r="B39" i="71"/>
  <c r="X38" i="71"/>
  <c r="Z38" i="71" s="1"/>
  <c r="N38" i="71"/>
  <c r="L38" i="71"/>
  <c r="B38" i="71"/>
  <c r="Z37" i="71"/>
  <c r="X37" i="71"/>
  <c r="V37" i="71"/>
  <c r="N37" i="71"/>
  <c r="L37" i="71"/>
  <c r="B37" i="71"/>
  <c r="Z36" i="71"/>
  <c r="X36" i="71"/>
  <c r="V36" i="71"/>
  <c r="N36" i="71"/>
  <c r="L36" i="71"/>
  <c r="B36" i="71"/>
  <c r="Z35" i="71"/>
  <c r="X35" i="71"/>
  <c r="N35" i="71"/>
  <c r="L35" i="71"/>
  <c r="B35" i="71"/>
  <c r="Z34" i="71"/>
  <c r="T34" i="71"/>
  <c r="P34" i="71"/>
  <c r="X34" i="71" s="1"/>
  <c r="L34" i="71"/>
  <c r="N34" i="71" s="1"/>
  <c r="J34" i="71"/>
  <c r="H34" i="71"/>
  <c r="D34" i="71"/>
  <c r="B34" i="71"/>
  <c r="Z33" i="71"/>
  <c r="X33" i="71"/>
  <c r="V33" i="71"/>
  <c r="N33" i="71"/>
  <c r="L33" i="71"/>
  <c r="B33" i="71"/>
  <c r="X32" i="71"/>
  <c r="Z32" i="71" s="1"/>
  <c r="V32" i="71"/>
  <c r="L32" i="71"/>
  <c r="N32" i="71" s="1"/>
  <c r="B32" i="71"/>
  <c r="Z31" i="71"/>
  <c r="X31" i="71"/>
  <c r="N31" i="71"/>
  <c r="L31" i="71"/>
  <c r="B31" i="71"/>
  <c r="Z30" i="71"/>
  <c r="X30" i="71"/>
  <c r="N30" i="71"/>
  <c r="L30" i="71"/>
  <c r="B30" i="71"/>
  <c r="Z29" i="71"/>
  <c r="X29" i="71"/>
  <c r="N29" i="71"/>
  <c r="L29" i="71"/>
  <c r="J29" i="71"/>
  <c r="B29" i="71"/>
  <c r="Z28" i="71"/>
  <c r="X28" i="71"/>
  <c r="N28" i="71"/>
  <c r="L28" i="71"/>
  <c r="J28" i="71"/>
  <c r="B28" i="71"/>
  <c r="X27" i="71"/>
  <c r="Z27" i="71" s="1"/>
  <c r="N27" i="71"/>
  <c r="L27" i="71"/>
  <c r="B27" i="71"/>
  <c r="Z26" i="71"/>
  <c r="X26" i="71"/>
  <c r="N26" i="71"/>
  <c r="L26" i="71"/>
  <c r="B26" i="71"/>
  <c r="X25" i="71"/>
  <c r="Z25" i="71" s="1"/>
  <c r="V25" i="71"/>
  <c r="L25" i="71"/>
  <c r="N25" i="71" s="1"/>
  <c r="B25" i="71"/>
  <c r="X24" i="71"/>
  <c r="Z24" i="71" s="1"/>
  <c r="V24" i="71"/>
  <c r="L24" i="71"/>
  <c r="N24" i="71" s="1"/>
  <c r="B24" i="71"/>
  <c r="X23" i="71"/>
  <c r="Z23" i="71" s="1"/>
  <c r="T23" i="71"/>
  <c r="P23" i="71"/>
  <c r="J23" i="71"/>
  <c r="H23" i="71"/>
  <c r="D23" i="71"/>
  <c r="B23" i="71"/>
  <c r="T22" i="71" a="1"/>
  <c r="T22" i="71"/>
  <c r="P22" i="71" a="1"/>
  <c r="P22" i="71" s="1"/>
  <c r="H22" i="71" a="1"/>
  <c r="H22" i="71" s="1"/>
  <c r="D22" i="71" a="1"/>
  <c r="D22" i="71" s="1"/>
  <c r="T20" i="71"/>
  <c r="Z18" i="71"/>
  <c r="X18" i="71"/>
  <c r="V18" i="71"/>
  <c r="N18" i="71"/>
  <c r="L18" i="71"/>
  <c r="B18" i="71"/>
  <c r="X17" i="71"/>
  <c r="Z17" i="71" s="1"/>
  <c r="L17" i="71"/>
  <c r="N17" i="71" s="1"/>
  <c r="J17" i="71"/>
  <c r="B17" i="71"/>
  <c r="T16" i="71"/>
  <c r="P16" i="71"/>
  <c r="X16" i="71" s="1"/>
  <c r="Z16" i="71" s="1"/>
  <c r="H16" i="71"/>
  <c r="D16" i="71"/>
  <c r="L16" i="71" s="1"/>
  <c r="N16" i="71" s="1"/>
  <c r="X14" i="71"/>
  <c r="Z14" i="71" s="1"/>
  <c r="P14" i="71"/>
  <c r="L14" i="71"/>
  <c r="N14" i="71" s="1"/>
  <c r="D14" i="71"/>
  <c r="B14" i="71"/>
  <c r="P13" i="71"/>
  <c r="X13" i="71" s="1"/>
  <c r="Z13" i="71" s="1"/>
  <c r="D13" i="71"/>
  <c r="L13" i="71" s="1"/>
  <c r="N13" i="71" s="1"/>
  <c r="B13" i="71"/>
  <c r="T12" i="71"/>
  <c r="H12" i="71"/>
  <c r="J61" i="71" s="1"/>
  <c r="D6" i="71"/>
  <c r="D4" i="71"/>
  <c r="Z81" i="69"/>
  <c r="X81" i="69"/>
  <c r="L81" i="69"/>
  <c r="N81" i="69" s="1"/>
  <c r="F81" i="69"/>
  <c r="P77" i="69"/>
  <c r="D77" i="69"/>
  <c r="L77" i="69" s="1"/>
  <c r="N77" i="69" s="1"/>
  <c r="B77" i="69"/>
  <c r="Z76" i="69"/>
  <c r="X76" i="69"/>
  <c r="P76" i="69"/>
  <c r="N76" i="69"/>
  <c r="D76" i="69"/>
  <c r="L76" i="69" s="1"/>
  <c r="B76" i="69"/>
  <c r="Z75" i="69"/>
  <c r="P75" i="69"/>
  <c r="X75" i="69" s="1"/>
  <c r="N75" i="69"/>
  <c r="L75" i="69"/>
  <c r="J75" i="69"/>
  <c r="D75" i="69"/>
  <c r="B75" i="69"/>
  <c r="T74" i="69"/>
  <c r="H74" i="69"/>
  <c r="Z72" i="69"/>
  <c r="X72" i="69"/>
  <c r="L72" i="69"/>
  <c r="N72" i="69" s="1"/>
  <c r="J72" i="69"/>
  <c r="B72" i="69"/>
  <c r="T71" i="69"/>
  <c r="Z71" i="69" s="1"/>
  <c r="P71" i="69"/>
  <c r="X71" i="69" s="1"/>
  <c r="N71" i="69"/>
  <c r="L71" i="69"/>
  <c r="H71" i="69"/>
  <c r="D71" i="69"/>
  <c r="B71" i="69"/>
  <c r="Z70" i="69"/>
  <c r="X70" i="69"/>
  <c r="L70" i="69"/>
  <c r="N70" i="69" s="1"/>
  <c r="B70" i="69"/>
  <c r="Z69" i="69"/>
  <c r="X69" i="69"/>
  <c r="L69" i="69"/>
  <c r="N69" i="69" s="1"/>
  <c r="B69" i="69"/>
  <c r="T68" i="69"/>
  <c r="P68" i="69"/>
  <c r="X68" i="69" s="1"/>
  <c r="Z68" i="69" s="1"/>
  <c r="L68" i="69"/>
  <c r="N68" i="69" s="1"/>
  <c r="J68" i="69"/>
  <c r="H68" i="69"/>
  <c r="D68" i="69"/>
  <c r="B68" i="69"/>
  <c r="X67" i="69"/>
  <c r="Z67" i="69" s="1"/>
  <c r="N67" i="69"/>
  <c r="L67" i="69"/>
  <c r="B67" i="69"/>
  <c r="X66" i="69"/>
  <c r="Z66" i="69" s="1"/>
  <c r="T66" i="69"/>
  <c r="P66" i="69"/>
  <c r="J66" i="69"/>
  <c r="H66" i="69"/>
  <c r="D66" i="69"/>
  <c r="L66" i="69" s="1"/>
  <c r="B66" i="69"/>
  <c r="X65" i="69"/>
  <c r="Z65" i="69" s="1"/>
  <c r="N65" i="69"/>
  <c r="L65" i="69"/>
  <c r="J65" i="69"/>
  <c r="B65" i="69"/>
  <c r="V64" i="69"/>
  <c r="T64" i="69"/>
  <c r="P64" i="69"/>
  <c r="X64" i="69" s="1"/>
  <c r="H64" i="69"/>
  <c r="N64" i="69" s="1"/>
  <c r="F64" i="69"/>
  <c r="D64" i="69"/>
  <c r="L64" i="69" s="1"/>
  <c r="B64" i="69"/>
  <c r="Z63" i="69"/>
  <c r="X63" i="69"/>
  <c r="L63" i="69"/>
  <c r="N63" i="69" s="1"/>
  <c r="J63" i="69"/>
  <c r="B63" i="69"/>
  <c r="T62" i="69"/>
  <c r="Z62" i="69" s="1"/>
  <c r="P62" i="69"/>
  <c r="X62" i="69" s="1"/>
  <c r="L62" i="69"/>
  <c r="N62" i="69" s="1"/>
  <c r="H62" i="69"/>
  <c r="D62" i="69"/>
  <c r="B62" i="69"/>
  <c r="Z61" i="69"/>
  <c r="X61" i="69"/>
  <c r="V61" i="69"/>
  <c r="L61" i="69"/>
  <c r="N61" i="69" s="1"/>
  <c r="B61" i="69"/>
  <c r="X60" i="69"/>
  <c r="Z60" i="69" s="1"/>
  <c r="T60" i="69"/>
  <c r="P60" i="69"/>
  <c r="H60" i="69"/>
  <c r="D60" i="69"/>
  <c r="B60" i="69"/>
  <c r="Z59" i="69"/>
  <c r="X59" i="69"/>
  <c r="V59" i="69"/>
  <c r="N59" i="69"/>
  <c r="L59" i="69"/>
  <c r="B59" i="69"/>
  <c r="Z58" i="69"/>
  <c r="X58" i="69"/>
  <c r="V58" i="69"/>
  <c r="T58" i="69"/>
  <c r="P58" i="69"/>
  <c r="H58" i="69"/>
  <c r="D58" i="69"/>
  <c r="B58" i="69"/>
  <c r="X57" i="69"/>
  <c r="Z57" i="69" s="1"/>
  <c r="N57" i="69"/>
  <c r="L57" i="69"/>
  <c r="J57" i="69"/>
  <c r="B57" i="69"/>
  <c r="T56" i="69"/>
  <c r="P56" i="69"/>
  <c r="H56" i="69"/>
  <c r="D56" i="69"/>
  <c r="L56" i="69" s="1"/>
  <c r="B56" i="69"/>
  <c r="Z55" i="69"/>
  <c r="X55" i="69"/>
  <c r="N55" i="69"/>
  <c r="L55" i="69"/>
  <c r="J55" i="69"/>
  <c r="B55" i="69"/>
  <c r="Z54" i="69"/>
  <c r="X54" i="69"/>
  <c r="N54" i="69"/>
  <c r="L54" i="69"/>
  <c r="J54" i="69"/>
  <c r="B54" i="69"/>
  <c r="Z53" i="69"/>
  <c r="X53" i="69"/>
  <c r="L53" i="69"/>
  <c r="N53" i="69" s="1"/>
  <c r="J53" i="69"/>
  <c r="B53" i="69"/>
  <c r="X52" i="69"/>
  <c r="Z52" i="69" s="1"/>
  <c r="V52" i="69"/>
  <c r="N52" i="69"/>
  <c r="L52" i="69"/>
  <c r="B52" i="69"/>
  <c r="Z51" i="69"/>
  <c r="X51" i="69"/>
  <c r="N51" i="69"/>
  <c r="L51" i="69"/>
  <c r="B51" i="69"/>
  <c r="Z50" i="69"/>
  <c r="X50" i="69"/>
  <c r="N50" i="69"/>
  <c r="L50" i="69"/>
  <c r="B50" i="69"/>
  <c r="Z49" i="69"/>
  <c r="X49" i="69"/>
  <c r="V49" i="69"/>
  <c r="N49" i="69"/>
  <c r="L49" i="69"/>
  <c r="F49" i="69"/>
  <c r="B49" i="69"/>
  <c r="Z48" i="69"/>
  <c r="X48" i="69"/>
  <c r="N48" i="69"/>
  <c r="L48" i="69"/>
  <c r="J48" i="69"/>
  <c r="B48" i="69"/>
  <c r="Z47" i="69"/>
  <c r="X47" i="69"/>
  <c r="L47" i="69"/>
  <c r="N47" i="69" s="1"/>
  <c r="J47" i="69"/>
  <c r="B47" i="69"/>
  <c r="Z46" i="69"/>
  <c r="X46" i="69"/>
  <c r="N46" i="69"/>
  <c r="L46" i="69"/>
  <c r="J46" i="69"/>
  <c r="F46" i="69"/>
  <c r="B46" i="69"/>
  <c r="T45" i="69"/>
  <c r="P45" i="69"/>
  <c r="X45" i="69" s="1"/>
  <c r="H45" i="69"/>
  <c r="D45" i="69"/>
  <c r="L45" i="69" s="1"/>
  <c r="N45" i="69" s="1"/>
  <c r="B45" i="69"/>
  <c r="Z44" i="69"/>
  <c r="X44" i="69"/>
  <c r="L44" i="69"/>
  <c r="N44" i="69" s="1"/>
  <c r="J44" i="69"/>
  <c r="B44" i="69"/>
  <c r="Z43" i="69"/>
  <c r="X43" i="69"/>
  <c r="L43" i="69"/>
  <c r="N43" i="69" s="1"/>
  <c r="J43" i="69"/>
  <c r="B43" i="69"/>
  <c r="Z42" i="69"/>
  <c r="X42" i="69"/>
  <c r="N42" i="69"/>
  <c r="L42" i="69"/>
  <c r="J42" i="69"/>
  <c r="B42" i="69"/>
  <c r="Z41" i="69"/>
  <c r="X41" i="69"/>
  <c r="N41" i="69"/>
  <c r="L41" i="69"/>
  <c r="J41" i="69"/>
  <c r="B41" i="69"/>
  <c r="Z40" i="69"/>
  <c r="X40" i="69"/>
  <c r="V40" i="69"/>
  <c r="N40" i="69"/>
  <c r="L40" i="69"/>
  <c r="B40" i="69"/>
  <c r="X39" i="69"/>
  <c r="Z39" i="69" s="1"/>
  <c r="N39" i="69"/>
  <c r="L39" i="69"/>
  <c r="B39" i="69"/>
  <c r="Z38" i="69"/>
  <c r="X38" i="69"/>
  <c r="N38" i="69"/>
  <c r="L38" i="69"/>
  <c r="B38" i="69"/>
  <c r="X37" i="69"/>
  <c r="Z37" i="69" s="1"/>
  <c r="V37" i="69"/>
  <c r="L37" i="69"/>
  <c r="N37" i="69" s="1"/>
  <c r="B37" i="69"/>
  <c r="X36" i="69"/>
  <c r="Z36" i="69" s="1"/>
  <c r="L36" i="69"/>
  <c r="N36" i="69" s="1"/>
  <c r="J36" i="69"/>
  <c r="B36" i="69"/>
  <c r="Z35" i="69"/>
  <c r="X35" i="69"/>
  <c r="L35" i="69"/>
  <c r="N35" i="69" s="1"/>
  <c r="J35" i="69"/>
  <c r="B35" i="69"/>
  <c r="T34" i="69"/>
  <c r="Z34" i="69" s="1"/>
  <c r="P34" i="69"/>
  <c r="X34" i="69" s="1"/>
  <c r="N34" i="69"/>
  <c r="L34" i="69"/>
  <c r="H34" i="69"/>
  <c r="D34" i="69"/>
  <c r="B34" i="69"/>
  <c r="T33" i="69" a="1"/>
  <c r="T33" i="69" s="1"/>
  <c r="P33" i="69" a="1"/>
  <c r="P33" i="69"/>
  <c r="X33" i="69" s="1"/>
  <c r="N33" i="69"/>
  <c r="J33" i="69"/>
  <c r="H33" i="69" a="1"/>
  <c r="H33" i="69" s="1"/>
  <c r="D33" i="69" a="1"/>
  <c r="D33" i="69"/>
  <c r="L33" i="69" s="1"/>
  <c r="Z29" i="69"/>
  <c r="X29" i="69"/>
  <c r="N29" i="69"/>
  <c r="L29" i="69"/>
  <c r="J29" i="69"/>
  <c r="B29" i="69"/>
  <c r="Z28" i="69"/>
  <c r="X28" i="69"/>
  <c r="V28" i="69"/>
  <c r="N28" i="69"/>
  <c r="L28" i="69"/>
  <c r="B28" i="69"/>
  <c r="Z27" i="69"/>
  <c r="X27" i="69"/>
  <c r="V27" i="69"/>
  <c r="N27" i="69"/>
  <c r="L27" i="69"/>
  <c r="B27" i="69"/>
  <c r="Z26" i="69"/>
  <c r="X26" i="69"/>
  <c r="N26" i="69"/>
  <c r="L26" i="69"/>
  <c r="B26" i="69"/>
  <c r="Z25" i="69"/>
  <c r="X25" i="69"/>
  <c r="N25" i="69"/>
  <c r="L25" i="69"/>
  <c r="J25" i="69"/>
  <c r="B25" i="69"/>
  <c r="Z24" i="69"/>
  <c r="X24" i="69"/>
  <c r="N24" i="69"/>
  <c r="L24" i="69"/>
  <c r="J24" i="69"/>
  <c r="B24" i="69"/>
  <c r="Z23" i="69"/>
  <c r="X23" i="69"/>
  <c r="N23" i="69"/>
  <c r="L23" i="69"/>
  <c r="J23" i="69"/>
  <c r="B23" i="69"/>
  <c r="Z22" i="69"/>
  <c r="X22" i="69"/>
  <c r="N22" i="69"/>
  <c r="L22" i="69"/>
  <c r="J22" i="69"/>
  <c r="B22" i="69"/>
  <c r="Z21" i="69"/>
  <c r="X21" i="69"/>
  <c r="N21" i="69"/>
  <c r="L21" i="69"/>
  <c r="J21" i="69"/>
  <c r="B21" i="69"/>
  <c r="X20" i="69"/>
  <c r="Z20" i="69" s="1"/>
  <c r="V20" i="69"/>
  <c r="N20" i="69"/>
  <c r="L20" i="69"/>
  <c r="B20" i="69"/>
  <c r="T19" i="69"/>
  <c r="P19" i="69"/>
  <c r="H19" i="69"/>
  <c r="F19" i="69"/>
  <c r="D19" i="69"/>
  <c r="Z17" i="69"/>
  <c r="X17" i="69"/>
  <c r="P17" i="69"/>
  <c r="N17" i="69"/>
  <c r="D17" i="69"/>
  <c r="L17" i="69" s="1"/>
  <c r="B17" i="69"/>
  <c r="Z16" i="69"/>
  <c r="X16" i="69"/>
  <c r="P16" i="69"/>
  <c r="N16" i="69"/>
  <c r="D16" i="69"/>
  <c r="L16" i="69" s="1"/>
  <c r="B16" i="69"/>
  <c r="Z15" i="69"/>
  <c r="P15" i="69"/>
  <c r="X15" i="69" s="1"/>
  <c r="N15" i="69"/>
  <c r="L15" i="69"/>
  <c r="D15" i="69"/>
  <c r="B15" i="69"/>
  <c r="P14" i="69"/>
  <c r="X14" i="69" s="1"/>
  <c r="Z14" i="69" s="1"/>
  <c r="N14" i="69"/>
  <c r="L14" i="69"/>
  <c r="D14" i="69"/>
  <c r="B14" i="69"/>
  <c r="X13" i="69"/>
  <c r="Z13" i="69" s="1"/>
  <c r="P13" i="69"/>
  <c r="L13" i="69"/>
  <c r="N13" i="69" s="1"/>
  <c r="D13" i="69"/>
  <c r="D12" i="69" s="1"/>
  <c r="F76" i="69" s="1"/>
  <c r="B13" i="69"/>
  <c r="T12" i="69"/>
  <c r="V51" i="69" s="1"/>
  <c r="H12" i="69"/>
  <c r="J71" i="69" s="1"/>
  <c r="D6" i="69"/>
  <c r="D4" i="69"/>
  <c r="Z77" i="68"/>
  <c r="X77" i="68"/>
  <c r="V77" i="68"/>
  <c r="N77" i="68"/>
  <c r="L77" i="68"/>
  <c r="P73" i="68"/>
  <c r="N73" i="68"/>
  <c r="L73" i="68"/>
  <c r="J73" i="68"/>
  <c r="D73" i="68"/>
  <c r="B73" i="68"/>
  <c r="T72" i="68"/>
  <c r="H72" i="68"/>
  <c r="N72" i="68" s="1"/>
  <c r="D72" i="68"/>
  <c r="Z70" i="68"/>
  <c r="X70" i="68"/>
  <c r="L70" i="68"/>
  <c r="N70" i="68" s="1"/>
  <c r="B70" i="68"/>
  <c r="T69" i="68"/>
  <c r="P69" i="68"/>
  <c r="X69" i="68" s="1"/>
  <c r="N69" i="68"/>
  <c r="L69" i="68"/>
  <c r="H69" i="68"/>
  <c r="D69" i="68"/>
  <c r="B69" i="68"/>
  <c r="X68" i="68"/>
  <c r="Z68" i="68" s="1"/>
  <c r="V68" i="68"/>
  <c r="N68" i="68"/>
  <c r="L68" i="68"/>
  <c r="B68" i="68"/>
  <c r="Z67" i="68"/>
  <c r="X67" i="68"/>
  <c r="L67" i="68"/>
  <c r="N67" i="68" s="1"/>
  <c r="J67" i="68"/>
  <c r="B67" i="68"/>
  <c r="Z66" i="68"/>
  <c r="X66" i="68"/>
  <c r="L66" i="68"/>
  <c r="N66" i="68" s="1"/>
  <c r="J66" i="68"/>
  <c r="B66" i="68"/>
  <c r="Z65" i="68"/>
  <c r="X65" i="68"/>
  <c r="L65" i="68"/>
  <c r="N65" i="68" s="1"/>
  <c r="J65" i="68"/>
  <c r="B65" i="68"/>
  <c r="T64" i="68"/>
  <c r="P64" i="68"/>
  <c r="H64" i="68"/>
  <c r="D64" i="68"/>
  <c r="L64" i="68" s="1"/>
  <c r="N64" i="68" s="1"/>
  <c r="B64" i="68"/>
  <c r="Z63" i="68"/>
  <c r="X63" i="68"/>
  <c r="L63" i="68"/>
  <c r="N63" i="68" s="1"/>
  <c r="B63" i="68"/>
  <c r="Z62" i="68"/>
  <c r="T62" i="68"/>
  <c r="P62" i="68"/>
  <c r="X62" i="68" s="1"/>
  <c r="N62" i="68"/>
  <c r="L62" i="68"/>
  <c r="H62" i="68"/>
  <c r="D62" i="68"/>
  <c r="B62" i="68"/>
  <c r="Z61" i="68"/>
  <c r="X61" i="68"/>
  <c r="V61" i="68"/>
  <c r="N61" i="68"/>
  <c r="L61" i="68"/>
  <c r="B61" i="68"/>
  <c r="X60" i="68"/>
  <c r="Z60" i="68" s="1"/>
  <c r="V60" i="68"/>
  <c r="L60" i="68"/>
  <c r="N60" i="68" s="1"/>
  <c r="B60" i="68"/>
  <c r="Z59" i="68"/>
  <c r="X59" i="68"/>
  <c r="N59" i="68"/>
  <c r="L59" i="68"/>
  <c r="J59" i="68"/>
  <c r="B59" i="68"/>
  <c r="Z58" i="68"/>
  <c r="T58" i="68"/>
  <c r="P58" i="68"/>
  <c r="X58" i="68" s="1"/>
  <c r="N58" i="68"/>
  <c r="L58" i="68"/>
  <c r="H58" i="68"/>
  <c r="D58" i="68"/>
  <c r="B58" i="68"/>
  <c r="Z57" i="68"/>
  <c r="X57" i="68"/>
  <c r="V57" i="68"/>
  <c r="N57" i="68"/>
  <c r="L57" i="68"/>
  <c r="B57" i="68"/>
  <c r="Z56" i="68"/>
  <c r="X56" i="68"/>
  <c r="V56" i="68"/>
  <c r="T56" i="68"/>
  <c r="P56" i="68"/>
  <c r="L56" i="68"/>
  <c r="J56" i="68"/>
  <c r="H56" i="68"/>
  <c r="N56" i="68" s="1"/>
  <c r="D56" i="68"/>
  <c r="B56" i="68"/>
  <c r="X55" i="68"/>
  <c r="Z55" i="68" s="1"/>
  <c r="N55" i="68"/>
  <c r="L55" i="68"/>
  <c r="B55" i="68"/>
  <c r="Z54" i="68"/>
  <c r="X54" i="68"/>
  <c r="N54" i="68"/>
  <c r="L54" i="68"/>
  <c r="B54" i="68"/>
  <c r="Z53" i="68"/>
  <c r="X53" i="68"/>
  <c r="T53" i="68"/>
  <c r="P53" i="68"/>
  <c r="L53" i="68"/>
  <c r="J53" i="68"/>
  <c r="H53" i="68"/>
  <c r="N53" i="68" s="1"/>
  <c r="D53" i="68"/>
  <c r="B53" i="68"/>
  <c r="X52" i="68"/>
  <c r="Z52" i="68" s="1"/>
  <c r="N52" i="68"/>
  <c r="L52" i="68"/>
  <c r="J52" i="68"/>
  <c r="B52" i="68"/>
  <c r="T51" i="68"/>
  <c r="P51" i="68"/>
  <c r="X51" i="68" s="1"/>
  <c r="H51" i="68"/>
  <c r="D51" i="68"/>
  <c r="L51" i="68" s="1"/>
  <c r="B51" i="68"/>
  <c r="Z50" i="68"/>
  <c r="X50" i="68"/>
  <c r="N50" i="68"/>
  <c r="L50" i="68"/>
  <c r="J50" i="68"/>
  <c r="B50" i="68"/>
  <c r="T49" i="68"/>
  <c r="P49" i="68"/>
  <c r="X49" i="68" s="1"/>
  <c r="Z49" i="68" s="1"/>
  <c r="N49" i="68"/>
  <c r="L49" i="68"/>
  <c r="J49" i="68"/>
  <c r="H49" i="68"/>
  <c r="D49" i="68"/>
  <c r="B49" i="68"/>
  <c r="Z48" i="68"/>
  <c r="X48" i="68"/>
  <c r="N48" i="68"/>
  <c r="L48" i="68"/>
  <c r="B48" i="68"/>
  <c r="Z47" i="68"/>
  <c r="T47" i="68"/>
  <c r="X47" i="68" s="1"/>
  <c r="P47" i="68"/>
  <c r="J47" i="68"/>
  <c r="H47" i="68"/>
  <c r="D47" i="68"/>
  <c r="L47" i="68" s="1"/>
  <c r="B47" i="68"/>
  <c r="Z46" i="68"/>
  <c r="X46" i="68"/>
  <c r="V46" i="68"/>
  <c r="N46" i="68"/>
  <c r="L46" i="68"/>
  <c r="J46" i="68"/>
  <c r="B46" i="68"/>
  <c r="Z45" i="68"/>
  <c r="X45" i="68"/>
  <c r="V45" i="68"/>
  <c r="N45" i="68"/>
  <c r="L45" i="68"/>
  <c r="J45" i="68"/>
  <c r="B45" i="68"/>
  <c r="X44" i="68"/>
  <c r="Z44" i="68" s="1"/>
  <c r="N44" i="68"/>
  <c r="L44" i="68"/>
  <c r="B44" i="68"/>
  <c r="Z43" i="68"/>
  <c r="X43" i="68"/>
  <c r="V43" i="68"/>
  <c r="N43" i="68"/>
  <c r="L43" i="68"/>
  <c r="B43" i="68"/>
  <c r="Z42" i="68"/>
  <c r="X42" i="68"/>
  <c r="V42" i="68"/>
  <c r="N42" i="68"/>
  <c r="L42" i="68"/>
  <c r="J42" i="68"/>
  <c r="B42" i="68"/>
  <c r="Z41" i="68"/>
  <c r="X41" i="68"/>
  <c r="N41" i="68"/>
  <c r="L41" i="68"/>
  <c r="J41" i="68"/>
  <c r="B41" i="68"/>
  <c r="Z40" i="68"/>
  <c r="X40" i="68"/>
  <c r="L40" i="68"/>
  <c r="N40" i="68" s="1"/>
  <c r="J40" i="68"/>
  <c r="B40" i="68"/>
  <c r="Z39" i="68"/>
  <c r="X39" i="68"/>
  <c r="N39" i="68"/>
  <c r="L39" i="68"/>
  <c r="J39" i="68"/>
  <c r="B39" i="68"/>
  <c r="Z38" i="68"/>
  <c r="X38" i="68"/>
  <c r="V38" i="68"/>
  <c r="L38" i="68"/>
  <c r="N38" i="68" s="1"/>
  <c r="J38" i="68"/>
  <c r="B38" i="68"/>
  <c r="Z37" i="68"/>
  <c r="X37" i="68"/>
  <c r="V37" i="68"/>
  <c r="N37" i="68"/>
  <c r="L37" i="68"/>
  <c r="J37" i="68"/>
  <c r="B37" i="68"/>
  <c r="Z36" i="68"/>
  <c r="X36" i="68"/>
  <c r="T36" i="68"/>
  <c r="P36" i="68"/>
  <c r="H36" i="68"/>
  <c r="D36" i="68"/>
  <c r="B36" i="68"/>
  <c r="Z35" i="68"/>
  <c r="X35" i="68"/>
  <c r="N35" i="68"/>
  <c r="L35" i="68"/>
  <c r="J35" i="68"/>
  <c r="B35" i="68"/>
  <c r="Z34" i="68"/>
  <c r="X34" i="68"/>
  <c r="V34" i="68"/>
  <c r="L34" i="68"/>
  <c r="N34" i="68" s="1"/>
  <c r="J34" i="68"/>
  <c r="B34" i="68"/>
  <c r="X33" i="68"/>
  <c r="Z33" i="68" s="1"/>
  <c r="V33" i="68"/>
  <c r="N33" i="68"/>
  <c r="L33" i="68"/>
  <c r="J33" i="68"/>
  <c r="B33" i="68"/>
  <c r="Z32" i="68"/>
  <c r="X32" i="68"/>
  <c r="N32" i="68"/>
  <c r="L32" i="68"/>
  <c r="B32" i="68"/>
  <c r="Z31" i="68"/>
  <c r="X31" i="68"/>
  <c r="V31" i="68"/>
  <c r="N31" i="68"/>
  <c r="L31" i="68"/>
  <c r="B31" i="68"/>
  <c r="X30" i="68"/>
  <c r="Z30" i="68" s="1"/>
  <c r="V30" i="68"/>
  <c r="N30" i="68"/>
  <c r="L30" i="68"/>
  <c r="J30" i="68"/>
  <c r="B30" i="68"/>
  <c r="Z29" i="68"/>
  <c r="X29" i="68"/>
  <c r="L29" i="68"/>
  <c r="N29" i="68" s="1"/>
  <c r="J29" i="68"/>
  <c r="B29" i="68"/>
  <c r="Z28" i="68"/>
  <c r="X28" i="68"/>
  <c r="N28" i="68"/>
  <c r="L28" i="68"/>
  <c r="J28" i="68"/>
  <c r="B28" i="68"/>
  <c r="Z27" i="68"/>
  <c r="X27" i="68"/>
  <c r="N27" i="68"/>
  <c r="L27" i="68"/>
  <c r="J27" i="68"/>
  <c r="B27" i="68"/>
  <c r="T26" i="68"/>
  <c r="P26" i="68"/>
  <c r="H26" i="68"/>
  <c r="D26" i="68"/>
  <c r="L26" i="68" s="1"/>
  <c r="N26" i="68" s="1"/>
  <c r="B26" i="68"/>
  <c r="X25" i="68"/>
  <c r="T25" i="68" a="1"/>
  <c r="T25" i="68" s="1"/>
  <c r="Z25" i="68" s="1"/>
  <c r="P25" i="68" a="1"/>
  <c r="P25" i="68" s="1"/>
  <c r="H25" i="68" a="1"/>
  <c r="H25" i="68" s="1"/>
  <c r="D25" i="68" a="1"/>
  <c r="D25" i="68" s="1"/>
  <c r="H23" i="68"/>
  <c r="Z21" i="68"/>
  <c r="X21" i="68"/>
  <c r="V21" i="68"/>
  <c r="N21" i="68"/>
  <c r="L21" i="68"/>
  <c r="J21" i="68"/>
  <c r="B21" i="68"/>
  <c r="Z20" i="68"/>
  <c r="X20" i="68"/>
  <c r="N20" i="68"/>
  <c r="L20" i="68"/>
  <c r="B20" i="68"/>
  <c r="T19" i="68"/>
  <c r="P19" i="68"/>
  <c r="L19" i="68"/>
  <c r="J19" i="68"/>
  <c r="H19" i="68"/>
  <c r="N19" i="68" s="1"/>
  <c r="D19" i="68"/>
  <c r="Z17" i="68"/>
  <c r="X17" i="68"/>
  <c r="P17" i="68"/>
  <c r="N17" i="68"/>
  <c r="L17" i="68"/>
  <c r="D17" i="68"/>
  <c r="B17" i="68"/>
  <c r="Z16" i="68"/>
  <c r="X16" i="68"/>
  <c r="P16" i="68"/>
  <c r="N16" i="68"/>
  <c r="L16" i="68"/>
  <c r="D16" i="68"/>
  <c r="B16" i="68"/>
  <c r="Z15" i="68"/>
  <c r="X15" i="68"/>
  <c r="P15" i="68"/>
  <c r="N15" i="68"/>
  <c r="D15" i="68"/>
  <c r="L15" i="68" s="1"/>
  <c r="B15" i="68"/>
  <c r="X14" i="68"/>
  <c r="Z14" i="68" s="1"/>
  <c r="P14" i="68"/>
  <c r="N14" i="68"/>
  <c r="L14" i="68"/>
  <c r="D14" i="68"/>
  <c r="B14" i="68"/>
  <c r="P13" i="68"/>
  <c r="X13" i="68" s="1"/>
  <c r="Z13" i="68" s="1"/>
  <c r="N13" i="68"/>
  <c r="L13" i="68"/>
  <c r="D13" i="68"/>
  <c r="B13" i="68"/>
  <c r="X12" i="68"/>
  <c r="Z12" i="68" s="1"/>
  <c r="T12" i="68"/>
  <c r="P12" i="68"/>
  <c r="H12" i="68"/>
  <c r="J70" i="68" s="1"/>
  <c r="D6" i="68"/>
  <c r="D4" i="68"/>
  <c r="X114" i="67"/>
  <c r="Z114" i="67" s="1"/>
  <c r="V114" i="67"/>
  <c r="N114" i="67"/>
  <c r="L114" i="67"/>
  <c r="Z110" i="67"/>
  <c r="V110" i="67"/>
  <c r="P110" i="67"/>
  <c r="X110" i="67" s="1"/>
  <c r="N110" i="67"/>
  <c r="L110" i="67"/>
  <c r="D110" i="67"/>
  <c r="B110" i="67"/>
  <c r="Z109" i="67"/>
  <c r="X109" i="67"/>
  <c r="V109" i="67"/>
  <c r="P109" i="67"/>
  <c r="N109" i="67"/>
  <c r="D109" i="67"/>
  <c r="L109" i="67" s="1"/>
  <c r="B109" i="67"/>
  <c r="P108" i="67"/>
  <c r="X108" i="67" s="1"/>
  <c r="Z108" i="67" s="1"/>
  <c r="N108" i="67"/>
  <c r="L108" i="67"/>
  <c r="D108" i="67"/>
  <c r="B108" i="67"/>
  <c r="V107" i="67"/>
  <c r="T107" i="67"/>
  <c r="H107" i="67"/>
  <c r="N107" i="67" s="1"/>
  <c r="D107" i="67"/>
  <c r="L107" i="67" s="1"/>
  <c r="X105" i="67"/>
  <c r="Z105" i="67" s="1"/>
  <c r="L105" i="67"/>
  <c r="N105" i="67" s="1"/>
  <c r="B105" i="67"/>
  <c r="Z104" i="67"/>
  <c r="T104" i="67"/>
  <c r="P104" i="67"/>
  <c r="X104" i="67" s="1"/>
  <c r="L104" i="67"/>
  <c r="N104" i="67" s="1"/>
  <c r="H104" i="67"/>
  <c r="D104" i="67"/>
  <c r="B104" i="67"/>
  <c r="Z103" i="67"/>
  <c r="X103" i="67"/>
  <c r="V103" i="67"/>
  <c r="N103" i="67"/>
  <c r="L103" i="67"/>
  <c r="B103" i="67"/>
  <c r="Z102" i="67"/>
  <c r="X102" i="67"/>
  <c r="V102" i="67"/>
  <c r="T102" i="67"/>
  <c r="P102" i="67"/>
  <c r="N102" i="67"/>
  <c r="L102" i="67"/>
  <c r="H102" i="67"/>
  <c r="D102" i="67"/>
  <c r="B102" i="67"/>
  <c r="X101" i="67"/>
  <c r="Z101" i="67" s="1"/>
  <c r="V101" i="67"/>
  <c r="L101" i="67"/>
  <c r="N101" i="67" s="1"/>
  <c r="B101" i="67"/>
  <c r="X100" i="67"/>
  <c r="Z100" i="67" s="1"/>
  <c r="T100" i="67"/>
  <c r="P100" i="67"/>
  <c r="H100" i="67"/>
  <c r="D100" i="67"/>
  <c r="B100" i="67"/>
  <c r="Z99" i="67"/>
  <c r="X99" i="67"/>
  <c r="N99" i="67"/>
  <c r="L99" i="67"/>
  <c r="B99" i="67"/>
  <c r="Z98" i="67"/>
  <c r="X98" i="67"/>
  <c r="V98" i="67"/>
  <c r="N98" i="67"/>
  <c r="L98" i="67"/>
  <c r="B98" i="67"/>
  <c r="X97" i="67"/>
  <c r="Z97" i="67" s="1"/>
  <c r="V97" i="67"/>
  <c r="N97" i="67"/>
  <c r="L97" i="67"/>
  <c r="B97" i="67"/>
  <c r="Z96" i="67"/>
  <c r="X96" i="67"/>
  <c r="V96" i="67"/>
  <c r="N96" i="67"/>
  <c r="L96" i="67"/>
  <c r="B96" i="67"/>
  <c r="Z95" i="67"/>
  <c r="V95" i="67"/>
  <c r="T95" i="67"/>
  <c r="X95" i="67" s="1"/>
  <c r="P95" i="67"/>
  <c r="L95" i="67"/>
  <c r="H95" i="67"/>
  <c r="D95" i="67"/>
  <c r="B95" i="67"/>
  <c r="Z94" i="67"/>
  <c r="X94" i="67"/>
  <c r="V94" i="67"/>
  <c r="L94" i="67"/>
  <c r="N94" i="67" s="1"/>
  <c r="B94" i="67"/>
  <c r="X93" i="67"/>
  <c r="Z93" i="67" s="1"/>
  <c r="V93" i="67"/>
  <c r="N93" i="67"/>
  <c r="L93" i="67"/>
  <c r="B93" i="67"/>
  <c r="Z92" i="67"/>
  <c r="X92" i="67"/>
  <c r="T92" i="67"/>
  <c r="V92" i="67" s="1"/>
  <c r="P92" i="67"/>
  <c r="H92" i="67"/>
  <c r="D92" i="67"/>
  <c r="B92" i="67"/>
  <c r="Z91" i="67"/>
  <c r="X91" i="67"/>
  <c r="N91" i="67"/>
  <c r="L91" i="67"/>
  <c r="J91" i="67"/>
  <c r="B91" i="67"/>
  <c r="X90" i="67"/>
  <c r="Z90" i="67" s="1"/>
  <c r="V90" i="67"/>
  <c r="N90" i="67"/>
  <c r="L90" i="67"/>
  <c r="J90" i="67"/>
  <c r="B90" i="67"/>
  <c r="X89" i="67"/>
  <c r="Z89" i="67" s="1"/>
  <c r="V89" i="67"/>
  <c r="L89" i="67"/>
  <c r="N89" i="67" s="1"/>
  <c r="B89" i="67"/>
  <c r="X88" i="67"/>
  <c r="Z88" i="67" s="1"/>
  <c r="T88" i="67"/>
  <c r="V88" i="67" s="1"/>
  <c r="P88" i="67"/>
  <c r="H88" i="67"/>
  <c r="D88" i="67"/>
  <c r="B88" i="67"/>
  <c r="Z87" i="67"/>
  <c r="X87" i="67"/>
  <c r="N87" i="67"/>
  <c r="L87" i="67"/>
  <c r="B87" i="67"/>
  <c r="Z86" i="67"/>
  <c r="X86" i="67"/>
  <c r="V86" i="67"/>
  <c r="N86" i="67"/>
  <c r="L86" i="67"/>
  <c r="B86" i="67"/>
  <c r="X85" i="67"/>
  <c r="V85" i="67"/>
  <c r="T85" i="67"/>
  <c r="Z85" i="67" s="1"/>
  <c r="P85" i="67"/>
  <c r="H85" i="67"/>
  <c r="N85" i="67" s="1"/>
  <c r="D85" i="67"/>
  <c r="L85" i="67" s="1"/>
  <c r="B85" i="67"/>
  <c r="Z84" i="67"/>
  <c r="X84" i="67"/>
  <c r="N84" i="67"/>
  <c r="L84" i="67"/>
  <c r="B84" i="67"/>
  <c r="T83" i="67"/>
  <c r="P83" i="67"/>
  <c r="N83" i="67"/>
  <c r="L83" i="67"/>
  <c r="H83" i="67"/>
  <c r="D83" i="67"/>
  <c r="B83" i="67"/>
  <c r="X82" i="67"/>
  <c r="Z82" i="67" s="1"/>
  <c r="V82" i="67"/>
  <c r="N82" i="67"/>
  <c r="L82" i="67"/>
  <c r="B82" i="67"/>
  <c r="X81" i="67"/>
  <c r="Z81" i="67" s="1"/>
  <c r="T81" i="67"/>
  <c r="P81" i="67"/>
  <c r="N81" i="67"/>
  <c r="H81" i="67"/>
  <c r="L81" i="67" s="1"/>
  <c r="D81" i="67"/>
  <c r="B81" i="67"/>
  <c r="Z80" i="67"/>
  <c r="X80" i="67"/>
  <c r="V80" i="67"/>
  <c r="N80" i="67"/>
  <c r="L80" i="67"/>
  <c r="B80" i="67"/>
  <c r="T79" i="67"/>
  <c r="P79" i="67"/>
  <c r="L79" i="67"/>
  <c r="H79" i="67"/>
  <c r="N79" i="67" s="1"/>
  <c r="D79" i="67"/>
  <c r="B79" i="67"/>
  <c r="Z78" i="67"/>
  <c r="X78" i="67"/>
  <c r="V78" i="67"/>
  <c r="N78" i="67"/>
  <c r="L78" i="67"/>
  <c r="B78" i="67"/>
  <c r="X77" i="67"/>
  <c r="Z77" i="67" s="1"/>
  <c r="V77" i="67"/>
  <c r="N77" i="67"/>
  <c r="L77" i="67"/>
  <c r="B77" i="67"/>
  <c r="T76" i="67"/>
  <c r="V76" i="67" s="1"/>
  <c r="P76" i="67"/>
  <c r="H76" i="67"/>
  <c r="D76" i="67"/>
  <c r="B76" i="67"/>
  <c r="Z75" i="67"/>
  <c r="X75" i="67"/>
  <c r="N75" i="67"/>
  <c r="L75" i="67"/>
  <c r="B75" i="67"/>
  <c r="T74" i="67"/>
  <c r="Z74" i="67" s="1"/>
  <c r="P74" i="67"/>
  <c r="X74" i="67" s="1"/>
  <c r="N74" i="67"/>
  <c r="H74" i="67"/>
  <c r="D74" i="67"/>
  <c r="L74" i="67" s="1"/>
  <c r="B74" i="67"/>
  <c r="X73" i="67"/>
  <c r="Z73" i="67" s="1"/>
  <c r="L73" i="67"/>
  <c r="N73" i="67" s="1"/>
  <c r="B73" i="67"/>
  <c r="T72" i="67"/>
  <c r="P72" i="67"/>
  <c r="X72" i="67" s="1"/>
  <c r="Z72" i="67" s="1"/>
  <c r="N72" i="67"/>
  <c r="L72" i="67"/>
  <c r="H72" i="67"/>
  <c r="D72" i="67"/>
  <c r="B72" i="67"/>
  <c r="Z71" i="67"/>
  <c r="X71" i="67"/>
  <c r="V71" i="67"/>
  <c r="N71" i="67"/>
  <c r="L71" i="67"/>
  <c r="B71" i="67"/>
  <c r="Z70" i="67"/>
  <c r="X70" i="67"/>
  <c r="V70" i="67"/>
  <c r="T70" i="67"/>
  <c r="P70" i="67"/>
  <c r="N70" i="67"/>
  <c r="L70" i="67"/>
  <c r="H70" i="67"/>
  <c r="D70" i="67"/>
  <c r="B70" i="67"/>
  <c r="Z69" i="67"/>
  <c r="X69" i="67"/>
  <c r="V69" i="67"/>
  <c r="N69" i="67"/>
  <c r="L69" i="67"/>
  <c r="B69" i="67"/>
  <c r="X68" i="67"/>
  <c r="V68" i="67"/>
  <c r="T68" i="67"/>
  <c r="Z68" i="67" s="1"/>
  <c r="P68" i="67"/>
  <c r="H68" i="67"/>
  <c r="N68" i="67" s="1"/>
  <c r="D68" i="67"/>
  <c r="B68" i="67"/>
  <c r="Z67" i="67"/>
  <c r="X67" i="67"/>
  <c r="N67" i="67"/>
  <c r="L67" i="67"/>
  <c r="B67" i="67"/>
  <c r="T66" i="67"/>
  <c r="Z66" i="67" s="1"/>
  <c r="P66" i="67"/>
  <c r="X66" i="67" s="1"/>
  <c r="N66" i="67"/>
  <c r="H66" i="67"/>
  <c r="D66" i="67"/>
  <c r="L66" i="67" s="1"/>
  <c r="B66" i="67"/>
  <c r="Z65" i="67"/>
  <c r="X65" i="67"/>
  <c r="V65" i="67"/>
  <c r="L65" i="67"/>
  <c r="N65" i="67" s="1"/>
  <c r="B65" i="67"/>
  <c r="T64" i="67"/>
  <c r="P64" i="67"/>
  <c r="X64" i="67" s="1"/>
  <c r="Z64" i="67" s="1"/>
  <c r="N64" i="67"/>
  <c r="L64" i="67"/>
  <c r="H64" i="67"/>
  <c r="D64" i="67"/>
  <c r="B64" i="67"/>
  <c r="Z63" i="67"/>
  <c r="X63" i="67"/>
  <c r="V63" i="67"/>
  <c r="N63" i="67"/>
  <c r="L63" i="67"/>
  <c r="B63" i="67"/>
  <c r="Z62" i="67"/>
  <c r="X62" i="67"/>
  <c r="V62" i="67"/>
  <c r="N62" i="67"/>
  <c r="L62" i="67"/>
  <c r="B62" i="67"/>
  <c r="X61" i="67"/>
  <c r="Z61" i="67" s="1"/>
  <c r="V61" i="67"/>
  <c r="N61" i="67"/>
  <c r="L61" i="67"/>
  <c r="B61" i="67"/>
  <c r="Z60" i="67"/>
  <c r="X60" i="67"/>
  <c r="N60" i="67"/>
  <c r="L60" i="67"/>
  <c r="B60" i="67"/>
  <c r="Z59" i="67"/>
  <c r="X59" i="67"/>
  <c r="N59" i="67"/>
  <c r="L59" i="67"/>
  <c r="B59" i="67"/>
  <c r="Z58" i="67"/>
  <c r="X58" i="67"/>
  <c r="V58" i="67"/>
  <c r="N58" i="67"/>
  <c r="L58" i="67"/>
  <c r="B58" i="67"/>
  <c r="X57" i="67"/>
  <c r="Z57" i="67" s="1"/>
  <c r="V57" i="67"/>
  <c r="N57" i="67"/>
  <c r="L57" i="67"/>
  <c r="B57" i="67"/>
  <c r="Z56" i="67"/>
  <c r="X56" i="67"/>
  <c r="V56" i="67"/>
  <c r="N56" i="67"/>
  <c r="L56" i="67"/>
  <c r="B56" i="67"/>
  <c r="Z55" i="67"/>
  <c r="X55" i="67"/>
  <c r="V55" i="67"/>
  <c r="N55" i="67"/>
  <c r="L55" i="67"/>
  <c r="B55" i="67"/>
  <c r="Z54" i="67"/>
  <c r="X54" i="67"/>
  <c r="V54" i="67"/>
  <c r="N54" i="67"/>
  <c r="L54" i="67"/>
  <c r="B54" i="67"/>
  <c r="Z53" i="67"/>
  <c r="X53" i="67"/>
  <c r="V53" i="67"/>
  <c r="T53" i="67"/>
  <c r="P53" i="67"/>
  <c r="L53" i="67"/>
  <c r="H53" i="67"/>
  <c r="N53" i="67" s="1"/>
  <c r="D53" i="67"/>
  <c r="B53" i="67"/>
  <c r="Z52" i="67"/>
  <c r="X52" i="67"/>
  <c r="V52" i="67"/>
  <c r="N52" i="67"/>
  <c r="L52" i="67"/>
  <c r="B52" i="67"/>
  <c r="X51" i="67"/>
  <c r="Z51" i="67" s="1"/>
  <c r="V51" i="67"/>
  <c r="N51" i="67"/>
  <c r="L51" i="67"/>
  <c r="B51" i="67"/>
  <c r="X50" i="67"/>
  <c r="Z50" i="67" s="1"/>
  <c r="V50" i="67"/>
  <c r="N50" i="67"/>
  <c r="L50" i="67"/>
  <c r="B50" i="67"/>
  <c r="Z49" i="67"/>
  <c r="X49" i="67"/>
  <c r="V49" i="67"/>
  <c r="N49" i="67"/>
  <c r="L49" i="67"/>
  <c r="B49" i="67"/>
  <c r="Z48" i="67"/>
  <c r="X48" i="67"/>
  <c r="L48" i="67"/>
  <c r="N48" i="67" s="1"/>
  <c r="J48" i="67"/>
  <c r="B48" i="67"/>
  <c r="Z47" i="67"/>
  <c r="X47" i="67"/>
  <c r="L47" i="67"/>
  <c r="N47" i="67" s="1"/>
  <c r="J47" i="67"/>
  <c r="B47" i="67"/>
  <c r="X46" i="67"/>
  <c r="Z46" i="67" s="1"/>
  <c r="V46" i="67"/>
  <c r="L46" i="67"/>
  <c r="N46" i="67" s="1"/>
  <c r="J46" i="67"/>
  <c r="B46" i="67"/>
  <c r="X45" i="67"/>
  <c r="Z45" i="67" s="1"/>
  <c r="V45" i="67"/>
  <c r="N45" i="67"/>
  <c r="L45" i="67"/>
  <c r="B45" i="67"/>
  <c r="Z44" i="67"/>
  <c r="X44" i="67"/>
  <c r="V44" i="67"/>
  <c r="N44" i="67"/>
  <c r="L44" i="67"/>
  <c r="B44" i="67"/>
  <c r="X43" i="67"/>
  <c r="T43" i="67"/>
  <c r="Z43" i="67" s="1"/>
  <c r="P43" i="67"/>
  <c r="H43" i="67"/>
  <c r="D43" i="67"/>
  <c r="L43" i="67" s="1"/>
  <c r="B43" i="67"/>
  <c r="T42" i="67" a="1"/>
  <c r="T42" i="67" s="1"/>
  <c r="P42" i="67" a="1"/>
  <c r="P42" i="67" s="1"/>
  <c r="H42" i="67" a="1"/>
  <c r="H42" i="67" s="1"/>
  <c r="D42" i="67" a="1"/>
  <c r="D42" i="67" s="1"/>
  <c r="T40" i="67"/>
  <c r="Z38" i="67"/>
  <c r="X38" i="67"/>
  <c r="V38" i="67"/>
  <c r="N38" i="67"/>
  <c r="L38" i="67"/>
  <c r="B38" i="67"/>
  <c r="Z37" i="67"/>
  <c r="X37" i="67"/>
  <c r="V37" i="67"/>
  <c r="N37" i="67"/>
  <c r="L37" i="67"/>
  <c r="B37" i="67"/>
  <c r="Z36" i="67"/>
  <c r="X36" i="67"/>
  <c r="N36" i="67"/>
  <c r="L36" i="67"/>
  <c r="J36" i="67"/>
  <c r="B36" i="67"/>
  <c r="Z35" i="67"/>
  <c r="X35" i="67"/>
  <c r="N35" i="67"/>
  <c r="L35" i="67"/>
  <c r="J35" i="67"/>
  <c r="B35" i="67"/>
  <c r="Z34" i="67"/>
  <c r="X34" i="67"/>
  <c r="V34" i="67"/>
  <c r="N34" i="67"/>
  <c r="L34" i="67"/>
  <c r="B34" i="67"/>
  <c r="Z33" i="67"/>
  <c r="X33" i="67"/>
  <c r="V33" i="67"/>
  <c r="N33" i="67"/>
  <c r="L33" i="67"/>
  <c r="B33" i="67"/>
  <c r="Z32" i="67"/>
  <c r="X32" i="67"/>
  <c r="V32" i="67"/>
  <c r="N32" i="67"/>
  <c r="L32" i="67"/>
  <c r="B32" i="67"/>
  <c r="Z31" i="67"/>
  <c r="X31" i="67"/>
  <c r="V31" i="67"/>
  <c r="N31" i="67"/>
  <c r="L31" i="67"/>
  <c r="B31" i="67"/>
  <c r="Z30" i="67"/>
  <c r="X30" i="67"/>
  <c r="V30" i="67"/>
  <c r="N30" i="67"/>
  <c r="L30" i="67"/>
  <c r="B30" i="67"/>
  <c r="Z29" i="67"/>
  <c r="X29" i="67"/>
  <c r="V29" i="67"/>
  <c r="N29" i="67"/>
  <c r="L29" i="67"/>
  <c r="B29" i="67"/>
  <c r="Z28" i="67"/>
  <c r="X28" i="67"/>
  <c r="N28" i="67"/>
  <c r="L28" i="67"/>
  <c r="J28" i="67"/>
  <c r="B28" i="67"/>
  <c r="Z27" i="67"/>
  <c r="X27" i="67"/>
  <c r="N27" i="67"/>
  <c r="L27" i="67"/>
  <c r="J27" i="67"/>
  <c r="B27" i="67"/>
  <c r="Z26" i="67"/>
  <c r="X26" i="67"/>
  <c r="V26" i="67"/>
  <c r="N26" i="67"/>
  <c r="L26" i="67"/>
  <c r="B26" i="67"/>
  <c r="Z25" i="67"/>
  <c r="X25" i="67"/>
  <c r="V25" i="67"/>
  <c r="N25" i="67"/>
  <c r="L25" i="67"/>
  <c r="B25" i="67"/>
  <c r="Z24" i="67"/>
  <c r="X24" i="67"/>
  <c r="V24" i="67"/>
  <c r="N24" i="67"/>
  <c r="L24" i="67"/>
  <c r="B24" i="67"/>
  <c r="Z23" i="67"/>
  <c r="X23" i="67"/>
  <c r="V23" i="67"/>
  <c r="N23" i="67"/>
  <c r="L23" i="67"/>
  <c r="B23" i="67"/>
  <c r="Z22" i="67"/>
  <c r="X22" i="67"/>
  <c r="V22" i="67"/>
  <c r="N22" i="67"/>
  <c r="L22" i="67"/>
  <c r="B22" i="67"/>
  <c r="Z21" i="67"/>
  <c r="X21" i="67"/>
  <c r="V21" i="67"/>
  <c r="N21" i="67"/>
  <c r="L21" i="67"/>
  <c r="B21" i="67"/>
  <c r="X20" i="67"/>
  <c r="Z20" i="67" s="1"/>
  <c r="L20" i="67"/>
  <c r="N20" i="67" s="1"/>
  <c r="J20" i="67"/>
  <c r="B20" i="67"/>
  <c r="T19" i="67"/>
  <c r="P19" i="67"/>
  <c r="L19" i="67"/>
  <c r="N19" i="67" s="1"/>
  <c r="H19" i="67"/>
  <c r="D19" i="67"/>
  <c r="Z17" i="67"/>
  <c r="X17" i="67"/>
  <c r="P17" i="67"/>
  <c r="N17" i="67"/>
  <c r="L17" i="67"/>
  <c r="D17" i="67"/>
  <c r="B17" i="67"/>
  <c r="Z16" i="67"/>
  <c r="P16" i="67"/>
  <c r="X16" i="67" s="1"/>
  <c r="N16" i="67"/>
  <c r="D16" i="67"/>
  <c r="B16" i="67"/>
  <c r="Z15" i="67"/>
  <c r="X15" i="67"/>
  <c r="P15" i="67"/>
  <c r="N15" i="67"/>
  <c r="D15" i="67"/>
  <c r="L15" i="67" s="1"/>
  <c r="B15" i="67"/>
  <c r="Z14" i="67"/>
  <c r="P14" i="67"/>
  <c r="N14" i="67"/>
  <c r="D14" i="67"/>
  <c r="L14" i="67" s="1"/>
  <c r="B14" i="67"/>
  <c r="P13" i="67"/>
  <c r="X13" i="67" s="1"/>
  <c r="Z13" i="67" s="1"/>
  <c r="D13" i="67"/>
  <c r="L13" i="67" s="1"/>
  <c r="N13" i="67" s="1"/>
  <c r="B13" i="67"/>
  <c r="T12" i="67"/>
  <c r="V105" i="67" s="1"/>
  <c r="H12" i="67"/>
  <c r="D6" i="67"/>
  <c r="D4" i="67"/>
  <c r="Z95" i="65"/>
  <c r="X95" i="65"/>
  <c r="L95" i="65"/>
  <c r="N95" i="65" s="1"/>
  <c r="J95" i="65"/>
  <c r="Z91" i="65"/>
  <c r="X91" i="65"/>
  <c r="P91" i="65"/>
  <c r="N91" i="65"/>
  <c r="D91" i="65"/>
  <c r="L91" i="65" s="1"/>
  <c r="B91" i="65"/>
  <c r="Z90" i="65"/>
  <c r="P90" i="65"/>
  <c r="X90" i="65" s="1"/>
  <c r="N90" i="65"/>
  <c r="D90" i="65"/>
  <c r="L90" i="65" s="1"/>
  <c r="B90" i="65"/>
  <c r="P89" i="65"/>
  <c r="X89" i="65" s="1"/>
  <c r="Z89" i="65" s="1"/>
  <c r="D89" i="65"/>
  <c r="L89" i="65" s="1"/>
  <c r="N89" i="65" s="1"/>
  <c r="B89" i="65"/>
  <c r="X88" i="65"/>
  <c r="Z88" i="65" s="1"/>
  <c r="P88" i="65"/>
  <c r="P87" i="65" s="1"/>
  <c r="X87" i="65" s="1"/>
  <c r="J88" i="65"/>
  <c r="D88" i="65"/>
  <c r="L88" i="65" s="1"/>
  <c r="N88" i="65" s="1"/>
  <c r="B88" i="65"/>
  <c r="T87" i="65"/>
  <c r="H87" i="65"/>
  <c r="Z85" i="65"/>
  <c r="X85" i="65"/>
  <c r="N85" i="65"/>
  <c r="L85" i="65"/>
  <c r="B85" i="65"/>
  <c r="X84" i="65"/>
  <c r="T84" i="65"/>
  <c r="Z84" i="65" s="1"/>
  <c r="P84" i="65"/>
  <c r="L84" i="65"/>
  <c r="H84" i="65"/>
  <c r="N84" i="65" s="1"/>
  <c r="D84" i="65"/>
  <c r="B84" i="65"/>
  <c r="X83" i="65"/>
  <c r="Z83" i="65" s="1"/>
  <c r="V83" i="65"/>
  <c r="L83" i="65"/>
  <c r="N83" i="65" s="1"/>
  <c r="B83" i="65"/>
  <c r="Z82" i="65"/>
  <c r="X82" i="65"/>
  <c r="N82" i="65"/>
  <c r="L82" i="65"/>
  <c r="B82" i="65"/>
  <c r="Z81" i="65"/>
  <c r="T81" i="65"/>
  <c r="P81" i="65"/>
  <c r="X81" i="65" s="1"/>
  <c r="H81" i="65"/>
  <c r="D81" i="65"/>
  <c r="L81" i="65" s="1"/>
  <c r="N81" i="65" s="1"/>
  <c r="B81" i="65"/>
  <c r="Z80" i="65"/>
  <c r="X80" i="65"/>
  <c r="L80" i="65"/>
  <c r="N80" i="65" s="1"/>
  <c r="B80" i="65"/>
  <c r="X79" i="65"/>
  <c r="Z79" i="65" s="1"/>
  <c r="V79" i="65"/>
  <c r="L79" i="65"/>
  <c r="N79" i="65" s="1"/>
  <c r="B79" i="65"/>
  <c r="X78" i="65"/>
  <c r="T78" i="65"/>
  <c r="Z78" i="65" s="1"/>
  <c r="P78" i="65"/>
  <c r="H78" i="65"/>
  <c r="D78" i="65"/>
  <c r="L78" i="65" s="1"/>
  <c r="B78" i="65"/>
  <c r="X77" i="65"/>
  <c r="Z77" i="65" s="1"/>
  <c r="N77" i="65"/>
  <c r="L77" i="65"/>
  <c r="B77" i="65"/>
  <c r="Z76" i="65"/>
  <c r="X76" i="65"/>
  <c r="L76" i="65"/>
  <c r="N76" i="65" s="1"/>
  <c r="B76" i="65"/>
  <c r="T75" i="65"/>
  <c r="P75" i="65"/>
  <c r="X75" i="65" s="1"/>
  <c r="Z75" i="65" s="1"/>
  <c r="H75" i="65"/>
  <c r="D75" i="65"/>
  <c r="B75" i="65"/>
  <c r="Z74" i="65"/>
  <c r="X74" i="65"/>
  <c r="L74" i="65"/>
  <c r="N74" i="65" s="1"/>
  <c r="B74" i="65"/>
  <c r="X73" i="65"/>
  <c r="Z73" i="65" s="1"/>
  <c r="N73" i="65"/>
  <c r="L73" i="65"/>
  <c r="B73" i="65"/>
  <c r="Z72" i="65"/>
  <c r="X72" i="65"/>
  <c r="N72" i="65"/>
  <c r="L72" i="65"/>
  <c r="B72" i="65"/>
  <c r="V71" i="65"/>
  <c r="T71" i="65"/>
  <c r="P71" i="65"/>
  <c r="X71" i="65" s="1"/>
  <c r="Z71" i="65" s="1"/>
  <c r="H71" i="65"/>
  <c r="D71" i="65"/>
  <c r="B71" i="65"/>
  <c r="Z70" i="65"/>
  <c r="X70" i="65"/>
  <c r="L70" i="65"/>
  <c r="N70" i="65" s="1"/>
  <c r="B70" i="65"/>
  <c r="T69" i="65"/>
  <c r="P69" i="65"/>
  <c r="L69" i="65"/>
  <c r="N69" i="65" s="1"/>
  <c r="H69" i="65"/>
  <c r="D69" i="65"/>
  <c r="B69" i="65"/>
  <c r="X68" i="65"/>
  <c r="Z68" i="65" s="1"/>
  <c r="N68" i="65"/>
  <c r="L68" i="65"/>
  <c r="B68" i="65"/>
  <c r="X67" i="65"/>
  <c r="Z67" i="65" s="1"/>
  <c r="T67" i="65"/>
  <c r="P67" i="65"/>
  <c r="H67" i="65"/>
  <c r="D67" i="65"/>
  <c r="L67" i="65" s="1"/>
  <c r="N67" i="65" s="1"/>
  <c r="B67" i="65"/>
  <c r="Z66" i="65"/>
  <c r="X66" i="65"/>
  <c r="N66" i="65"/>
  <c r="L66" i="65"/>
  <c r="B66" i="65"/>
  <c r="Z65" i="65"/>
  <c r="X65" i="65"/>
  <c r="L65" i="65"/>
  <c r="N65" i="65" s="1"/>
  <c r="B65" i="65"/>
  <c r="X64" i="65"/>
  <c r="T64" i="65"/>
  <c r="Z64" i="65" s="1"/>
  <c r="P64" i="65"/>
  <c r="L64" i="65"/>
  <c r="H64" i="65"/>
  <c r="D64" i="65"/>
  <c r="B64" i="65"/>
  <c r="X63" i="65"/>
  <c r="Z63" i="65" s="1"/>
  <c r="L63" i="65"/>
  <c r="N63" i="65" s="1"/>
  <c r="B63" i="65"/>
  <c r="X62" i="65"/>
  <c r="T62" i="65"/>
  <c r="P62" i="65"/>
  <c r="H62" i="65"/>
  <c r="D62" i="65"/>
  <c r="B62" i="65"/>
  <c r="X61" i="65"/>
  <c r="Z61" i="65" s="1"/>
  <c r="N61" i="65"/>
  <c r="L61" i="65"/>
  <c r="B61" i="65"/>
  <c r="T60" i="65"/>
  <c r="P60" i="65"/>
  <c r="X60" i="65" s="1"/>
  <c r="H60" i="65"/>
  <c r="D60" i="65"/>
  <c r="L60" i="65" s="1"/>
  <c r="N60" i="65" s="1"/>
  <c r="B60" i="65"/>
  <c r="Z59" i="65"/>
  <c r="X59" i="65"/>
  <c r="N59" i="65"/>
  <c r="L59" i="65"/>
  <c r="J59" i="65"/>
  <c r="B59" i="65"/>
  <c r="Z58" i="65"/>
  <c r="T58" i="65"/>
  <c r="P58" i="65"/>
  <c r="X58" i="65" s="1"/>
  <c r="L58" i="65"/>
  <c r="H58" i="65"/>
  <c r="N58" i="65" s="1"/>
  <c r="D58" i="65"/>
  <c r="B58" i="65"/>
  <c r="Z57" i="65"/>
  <c r="X57" i="65"/>
  <c r="L57" i="65"/>
  <c r="N57" i="65" s="1"/>
  <c r="B57" i="65"/>
  <c r="X56" i="65"/>
  <c r="T56" i="65"/>
  <c r="Z56" i="65" s="1"/>
  <c r="P56" i="65"/>
  <c r="L56" i="65"/>
  <c r="H56" i="65"/>
  <c r="D56" i="65"/>
  <c r="B56" i="65"/>
  <c r="Z55" i="65"/>
  <c r="X55" i="65"/>
  <c r="N55" i="65"/>
  <c r="L55" i="65"/>
  <c r="B55" i="65"/>
  <c r="Z54" i="65"/>
  <c r="X54" i="65"/>
  <c r="N54" i="65"/>
  <c r="L54" i="65"/>
  <c r="B54" i="65"/>
  <c r="Z53" i="65"/>
  <c r="X53" i="65"/>
  <c r="L53" i="65"/>
  <c r="N53" i="65" s="1"/>
  <c r="B53" i="65"/>
  <c r="X52" i="65"/>
  <c r="Z52" i="65" s="1"/>
  <c r="N52" i="65"/>
  <c r="L52" i="65"/>
  <c r="B52" i="65"/>
  <c r="Z51" i="65"/>
  <c r="X51" i="65"/>
  <c r="N51" i="65"/>
  <c r="L51" i="65"/>
  <c r="J51" i="65"/>
  <c r="B51" i="65"/>
  <c r="Z50" i="65"/>
  <c r="X50" i="65"/>
  <c r="L50" i="65"/>
  <c r="N50" i="65" s="1"/>
  <c r="B50" i="65"/>
  <c r="X49" i="65"/>
  <c r="Z49" i="65" s="1"/>
  <c r="N49" i="65"/>
  <c r="L49" i="65"/>
  <c r="B49" i="65"/>
  <c r="Z48" i="65"/>
  <c r="X48" i="65"/>
  <c r="N48" i="65"/>
  <c r="L48" i="65"/>
  <c r="B48" i="65"/>
  <c r="X47" i="65"/>
  <c r="Z47" i="65" s="1"/>
  <c r="N47" i="65"/>
  <c r="L47" i="65"/>
  <c r="B47" i="65"/>
  <c r="Z46" i="65"/>
  <c r="X46" i="65"/>
  <c r="N46" i="65"/>
  <c r="L46" i="65"/>
  <c r="B46" i="65"/>
  <c r="T45" i="65"/>
  <c r="P45" i="65"/>
  <c r="X45" i="65" s="1"/>
  <c r="Z45" i="65" s="1"/>
  <c r="J45" i="65"/>
  <c r="H45" i="65"/>
  <c r="D45" i="65"/>
  <c r="L45" i="65" s="1"/>
  <c r="N45" i="65" s="1"/>
  <c r="B45" i="65"/>
  <c r="Z44" i="65"/>
  <c r="X44" i="65"/>
  <c r="L44" i="65"/>
  <c r="N44" i="65" s="1"/>
  <c r="B44" i="65"/>
  <c r="X43" i="65"/>
  <c r="Z43" i="65" s="1"/>
  <c r="V43" i="65"/>
  <c r="N43" i="65"/>
  <c r="L43" i="65"/>
  <c r="B43" i="65"/>
  <c r="X42" i="65"/>
  <c r="Z42" i="65" s="1"/>
  <c r="N42" i="65"/>
  <c r="L42" i="65"/>
  <c r="B42" i="65"/>
  <c r="Z41" i="65"/>
  <c r="X41" i="65"/>
  <c r="N41" i="65"/>
  <c r="L41" i="65"/>
  <c r="B41" i="65"/>
  <c r="Z40" i="65"/>
  <c r="X40" i="65"/>
  <c r="N40" i="65"/>
  <c r="L40" i="65"/>
  <c r="B40" i="65"/>
  <c r="Z39" i="65"/>
  <c r="X39" i="65"/>
  <c r="L39" i="65"/>
  <c r="N39" i="65" s="1"/>
  <c r="J39" i="65"/>
  <c r="B39" i="65"/>
  <c r="Z38" i="65"/>
  <c r="X38" i="65"/>
  <c r="L38" i="65"/>
  <c r="N38" i="65" s="1"/>
  <c r="B38" i="65"/>
  <c r="X37" i="65"/>
  <c r="Z37" i="65" s="1"/>
  <c r="N37" i="65"/>
  <c r="L37" i="65"/>
  <c r="B37" i="65"/>
  <c r="Z36" i="65"/>
  <c r="X36" i="65"/>
  <c r="L36" i="65"/>
  <c r="N36" i="65" s="1"/>
  <c r="B36" i="65"/>
  <c r="X35" i="65"/>
  <c r="Z35" i="65" s="1"/>
  <c r="N35" i="65"/>
  <c r="L35" i="65"/>
  <c r="B35" i="65"/>
  <c r="X34" i="65"/>
  <c r="T34" i="65"/>
  <c r="P34" i="65"/>
  <c r="H34" i="65"/>
  <c r="D34" i="65"/>
  <c r="B34" i="65"/>
  <c r="T33" i="65" a="1"/>
  <c r="T33" i="65"/>
  <c r="P33" i="65" a="1"/>
  <c r="P33" i="65" s="1"/>
  <c r="H33" i="65" a="1"/>
  <c r="H33" i="65"/>
  <c r="D33" i="65" a="1"/>
  <c r="D33" i="65" s="1"/>
  <c r="L33" i="65" s="1"/>
  <c r="Z29" i="65"/>
  <c r="X29" i="65"/>
  <c r="N29" i="65"/>
  <c r="L29" i="65"/>
  <c r="B29" i="65"/>
  <c r="Z28" i="65"/>
  <c r="X28" i="65"/>
  <c r="N28" i="65"/>
  <c r="L28" i="65"/>
  <c r="B28" i="65"/>
  <c r="Z27" i="65"/>
  <c r="X27" i="65"/>
  <c r="N27" i="65"/>
  <c r="L27" i="65"/>
  <c r="J27" i="65"/>
  <c r="B27" i="65"/>
  <c r="Z26" i="65"/>
  <c r="X26" i="65"/>
  <c r="N26" i="65"/>
  <c r="L26" i="65"/>
  <c r="B26" i="65"/>
  <c r="Z25" i="65"/>
  <c r="X25" i="65"/>
  <c r="N25" i="65"/>
  <c r="L25" i="65"/>
  <c r="J25" i="65"/>
  <c r="B25" i="65"/>
  <c r="Z24" i="65"/>
  <c r="X24" i="65"/>
  <c r="N24" i="65"/>
  <c r="L24" i="65"/>
  <c r="J24" i="65"/>
  <c r="B24" i="65"/>
  <c r="Z23" i="65"/>
  <c r="X23" i="65"/>
  <c r="N23" i="65"/>
  <c r="L23" i="65"/>
  <c r="B23" i="65"/>
  <c r="Z22" i="65"/>
  <c r="X22" i="65"/>
  <c r="N22" i="65"/>
  <c r="L22" i="65"/>
  <c r="B22" i="65"/>
  <c r="Z21" i="65"/>
  <c r="X21" i="65"/>
  <c r="N21" i="65"/>
  <c r="L21" i="65"/>
  <c r="B21" i="65"/>
  <c r="X20" i="65"/>
  <c r="Z20" i="65" s="1"/>
  <c r="V20" i="65"/>
  <c r="N20" i="65"/>
  <c r="L20" i="65"/>
  <c r="J20" i="65"/>
  <c r="B20" i="65"/>
  <c r="X19" i="65"/>
  <c r="Z19" i="65" s="1"/>
  <c r="T19" i="65"/>
  <c r="P19" i="65"/>
  <c r="J19" i="65"/>
  <c r="H19" i="65"/>
  <c r="D19" i="65"/>
  <c r="Z17" i="65"/>
  <c r="P17" i="65"/>
  <c r="X17" i="65" s="1"/>
  <c r="N17" i="65"/>
  <c r="D17" i="65"/>
  <c r="L17" i="65" s="1"/>
  <c r="B17" i="65"/>
  <c r="Z16" i="65"/>
  <c r="P16" i="65"/>
  <c r="X16" i="65" s="1"/>
  <c r="N16" i="65"/>
  <c r="D16" i="65"/>
  <c r="L16" i="65" s="1"/>
  <c r="B16" i="65"/>
  <c r="Z15" i="65"/>
  <c r="X15" i="65"/>
  <c r="P15" i="65"/>
  <c r="N15" i="65"/>
  <c r="L15" i="65"/>
  <c r="D15" i="65"/>
  <c r="B15" i="65"/>
  <c r="Z14" i="65"/>
  <c r="P14" i="65"/>
  <c r="X14" i="65" s="1"/>
  <c r="N14" i="65"/>
  <c r="L14" i="65"/>
  <c r="D14" i="65"/>
  <c r="B14" i="65"/>
  <c r="X13" i="65"/>
  <c r="Z13" i="65" s="1"/>
  <c r="P13" i="65"/>
  <c r="D13" i="65"/>
  <c r="L13" i="65" s="1"/>
  <c r="N13" i="65" s="1"/>
  <c r="B13" i="65"/>
  <c r="T12" i="65"/>
  <c r="V89" i="65" s="1"/>
  <c r="H12" i="65"/>
  <c r="D6" i="65"/>
  <c r="D4" i="65"/>
  <c r="V66" i="64"/>
  <c r="J63" i="64"/>
  <c r="Z61" i="64"/>
  <c r="X61" i="64"/>
  <c r="V61" i="64"/>
  <c r="N61" i="64"/>
  <c r="L61" i="64"/>
  <c r="V59" i="64"/>
  <c r="Z57" i="64"/>
  <c r="X57" i="64"/>
  <c r="T57" i="64"/>
  <c r="P57" i="64"/>
  <c r="J57" i="64"/>
  <c r="H57" i="64"/>
  <c r="N57" i="64" s="1"/>
  <c r="D57" i="64"/>
  <c r="Z55" i="64"/>
  <c r="X55" i="64"/>
  <c r="V55" i="64"/>
  <c r="N55" i="64"/>
  <c r="L55" i="64"/>
  <c r="B55" i="64"/>
  <c r="T54" i="64"/>
  <c r="P54" i="64"/>
  <c r="N54" i="64"/>
  <c r="H54" i="64"/>
  <c r="D54" i="64"/>
  <c r="L54" i="64" s="1"/>
  <c r="B54" i="64"/>
  <c r="Z53" i="64"/>
  <c r="X53" i="64"/>
  <c r="V53" i="64"/>
  <c r="N53" i="64"/>
  <c r="L53" i="64"/>
  <c r="B53" i="64"/>
  <c r="Z52" i="64"/>
  <c r="X52" i="64"/>
  <c r="T52" i="64"/>
  <c r="P52" i="64"/>
  <c r="H52" i="64"/>
  <c r="N52" i="64" s="1"/>
  <c r="D52" i="64"/>
  <c r="B52" i="64"/>
  <c r="Z51" i="64"/>
  <c r="X51" i="64"/>
  <c r="N51" i="64"/>
  <c r="L51" i="64"/>
  <c r="B51" i="64"/>
  <c r="Z50" i="64"/>
  <c r="X50" i="64"/>
  <c r="V50" i="64"/>
  <c r="N50" i="64"/>
  <c r="L50" i="64"/>
  <c r="B50" i="64"/>
  <c r="X49" i="64"/>
  <c r="V49" i="64"/>
  <c r="T49" i="64"/>
  <c r="Z49" i="64" s="1"/>
  <c r="P49" i="64"/>
  <c r="H49" i="64"/>
  <c r="N49" i="64" s="1"/>
  <c r="D49" i="64"/>
  <c r="B49" i="64"/>
  <c r="Z48" i="64"/>
  <c r="X48" i="64"/>
  <c r="V48" i="64"/>
  <c r="N48" i="64"/>
  <c r="L48" i="64"/>
  <c r="B48" i="64"/>
  <c r="Z47" i="64"/>
  <c r="X47" i="64"/>
  <c r="N47" i="64"/>
  <c r="L47" i="64"/>
  <c r="B47" i="64"/>
  <c r="V46" i="64"/>
  <c r="T46" i="64"/>
  <c r="Z46" i="64" s="1"/>
  <c r="P46" i="64"/>
  <c r="X46" i="64" s="1"/>
  <c r="N46" i="64"/>
  <c r="H46" i="64"/>
  <c r="D46" i="64"/>
  <c r="L46" i="64" s="1"/>
  <c r="B46" i="64"/>
  <c r="Z45" i="64"/>
  <c r="X45" i="64"/>
  <c r="V45" i="64"/>
  <c r="N45" i="64"/>
  <c r="L45" i="64"/>
  <c r="B45" i="64"/>
  <c r="Z44" i="64"/>
  <c r="X44" i="64"/>
  <c r="V44" i="64"/>
  <c r="N44" i="64"/>
  <c r="L44" i="64"/>
  <c r="B44" i="64"/>
  <c r="Z43" i="64"/>
  <c r="X43" i="64"/>
  <c r="T43" i="64"/>
  <c r="P43" i="64"/>
  <c r="N43" i="64"/>
  <c r="H43" i="64"/>
  <c r="D43" i="64"/>
  <c r="L43" i="64" s="1"/>
  <c r="B43" i="64"/>
  <c r="Z42" i="64"/>
  <c r="X42" i="64"/>
  <c r="N42" i="64"/>
  <c r="L42" i="64"/>
  <c r="B42" i="64"/>
  <c r="V41" i="64"/>
  <c r="T41" i="64"/>
  <c r="Z41" i="64" s="1"/>
  <c r="P41" i="64"/>
  <c r="X41" i="64" s="1"/>
  <c r="N41" i="64"/>
  <c r="H41" i="64"/>
  <c r="D41" i="64"/>
  <c r="L41" i="64" s="1"/>
  <c r="B41" i="64"/>
  <c r="Z40" i="64"/>
  <c r="X40" i="64"/>
  <c r="V40" i="64"/>
  <c r="N40" i="64"/>
  <c r="L40" i="64"/>
  <c r="B40" i="64"/>
  <c r="Z39" i="64"/>
  <c r="V39" i="64"/>
  <c r="T39" i="64"/>
  <c r="P39" i="64"/>
  <c r="X39" i="64" s="1"/>
  <c r="L39" i="64"/>
  <c r="H39" i="64"/>
  <c r="N39" i="64" s="1"/>
  <c r="D39" i="64"/>
  <c r="B39" i="64"/>
  <c r="Z38" i="64"/>
  <c r="X38" i="64"/>
  <c r="V38" i="64"/>
  <c r="L38" i="64"/>
  <c r="N38" i="64" s="1"/>
  <c r="B38" i="64"/>
  <c r="X37" i="64"/>
  <c r="V37" i="64"/>
  <c r="T37" i="64"/>
  <c r="Z37" i="64" s="1"/>
  <c r="P37" i="64"/>
  <c r="H37" i="64"/>
  <c r="L37" i="64" s="1"/>
  <c r="D37" i="64"/>
  <c r="B37" i="64"/>
  <c r="Z36" i="64"/>
  <c r="X36" i="64"/>
  <c r="V36" i="64"/>
  <c r="N36" i="64"/>
  <c r="L36" i="64"/>
  <c r="B36" i="64"/>
  <c r="Z35" i="64"/>
  <c r="X35" i="64"/>
  <c r="T35" i="64"/>
  <c r="P35" i="64"/>
  <c r="N35" i="64"/>
  <c r="H35" i="64"/>
  <c r="D35" i="64"/>
  <c r="L35" i="64" s="1"/>
  <c r="B35" i="64"/>
  <c r="Z34" i="64"/>
  <c r="X34" i="64"/>
  <c r="N34" i="64"/>
  <c r="L34" i="64"/>
  <c r="B34" i="64"/>
  <c r="V33" i="64"/>
  <c r="T33" i="64"/>
  <c r="Z33" i="64" s="1"/>
  <c r="P33" i="64"/>
  <c r="X33" i="64" s="1"/>
  <c r="N33" i="64"/>
  <c r="L33" i="64"/>
  <c r="J33" i="64"/>
  <c r="H33" i="64"/>
  <c r="D33" i="64"/>
  <c r="B33" i="64"/>
  <c r="Z32" i="64"/>
  <c r="X32" i="64"/>
  <c r="V32" i="64"/>
  <c r="N32" i="64"/>
  <c r="L32" i="64"/>
  <c r="B32" i="64"/>
  <c r="Z31" i="64"/>
  <c r="X31" i="64"/>
  <c r="V31" i="64"/>
  <c r="T31" i="64"/>
  <c r="P31" i="64"/>
  <c r="H31" i="64"/>
  <c r="N31" i="64" s="1"/>
  <c r="D31" i="64"/>
  <c r="B31" i="64"/>
  <c r="Z30" i="64"/>
  <c r="X30" i="64"/>
  <c r="V30" i="64"/>
  <c r="N30" i="64"/>
  <c r="L30" i="64"/>
  <c r="B30" i="64"/>
  <c r="Z29" i="64"/>
  <c r="X29" i="64"/>
  <c r="V29" i="64"/>
  <c r="N29" i="64"/>
  <c r="L29" i="64"/>
  <c r="B29" i="64"/>
  <c r="V28" i="64"/>
  <c r="T28" i="64"/>
  <c r="Z28" i="64" s="1"/>
  <c r="P28" i="64"/>
  <c r="X28" i="64" s="1"/>
  <c r="J28" i="64"/>
  <c r="H28" i="64"/>
  <c r="N28" i="64" s="1"/>
  <c r="D28" i="64"/>
  <c r="B28" i="64"/>
  <c r="Z27" i="64"/>
  <c r="X27" i="64"/>
  <c r="N27" i="64"/>
  <c r="L27" i="64"/>
  <c r="B27" i="64"/>
  <c r="Z26" i="64"/>
  <c r="X26" i="64"/>
  <c r="V26" i="64"/>
  <c r="N26" i="64"/>
  <c r="L26" i="64"/>
  <c r="B26" i="64"/>
  <c r="X25" i="64"/>
  <c r="V25" i="64"/>
  <c r="T25" i="64"/>
  <c r="Z25" i="64" s="1"/>
  <c r="P25" i="64"/>
  <c r="N25" i="64"/>
  <c r="H25" i="64"/>
  <c r="D25" i="64"/>
  <c r="L25" i="64" s="1"/>
  <c r="B25" i="64"/>
  <c r="V24" i="64"/>
  <c r="T24" i="64" a="1"/>
  <c r="T24" i="64"/>
  <c r="P24" i="64" a="1"/>
  <c r="P24" i="64"/>
  <c r="X24" i="64" s="1"/>
  <c r="H24" i="64" a="1"/>
  <c r="H24" i="64"/>
  <c r="D24" i="64" a="1"/>
  <c r="D24" i="64"/>
  <c r="L24" i="64" s="1"/>
  <c r="V22" i="64"/>
  <c r="Z20" i="64"/>
  <c r="X20" i="64"/>
  <c r="V20" i="64"/>
  <c r="N20" i="64"/>
  <c r="L20" i="64"/>
  <c r="B20" i="64"/>
  <c r="Z19" i="64"/>
  <c r="X19" i="64"/>
  <c r="V19" i="64"/>
  <c r="N19" i="64"/>
  <c r="L19" i="64"/>
  <c r="B19" i="64"/>
  <c r="Z18" i="64"/>
  <c r="X18" i="64"/>
  <c r="T18" i="64"/>
  <c r="P18" i="64"/>
  <c r="N18" i="64"/>
  <c r="H18" i="64"/>
  <c r="D18" i="64"/>
  <c r="L18" i="64" s="1"/>
  <c r="Z16" i="64"/>
  <c r="P16" i="64"/>
  <c r="X16" i="64" s="1"/>
  <c r="N16" i="64"/>
  <c r="L16" i="64"/>
  <c r="D16" i="64"/>
  <c r="B16" i="64"/>
  <c r="Z15" i="64"/>
  <c r="X15" i="64"/>
  <c r="P15" i="64"/>
  <c r="N15" i="64"/>
  <c r="L15" i="64"/>
  <c r="D15" i="64"/>
  <c r="B15" i="64"/>
  <c r="Z14" i="64"/>
  <c r="P14" i="64"/>
  <c r="X14" i="64" s="1"/>
  <c r="N14" i="64"/>
  <c r="D14" i="64"/>
  <c r="B14" i="64"/>
  <c r="Z13" i="64"/>
  <c r="P13" i="64"/>
  <c r="X13" i="64" s="1"/>
  <c r="N13" i="64"/>
  <c r="D13" i="64"/>
  <c r="L13" i="64" s="1"/>
  <c r="B13" i="64"/>
  <c r="Z12" i="64"/>
  <c r="T12" i="64"/>
  <c r="V52" i="64" s="1"/>
  <c r="H12" i="64"/>
  <c r="J43" i="64" s="1"/>
  <c r="D6" i="64"/>
  <c r="D4" i="64"/>
  <c r="X88" i="63"/>
  <c r="Z88" i="63" s="1"/>
  <c r="L88" i="63"/>
  <c r="N88" i="63" s="1"/>
  <c r="Z84" i="63"/>
  <c r="X84" i="63"/>
  <c r="T84" i="63"/>
  <c r="P84" i="63"/>
  <c r="N84" i="63"/>
  <c r="H84" i="63"/>
  <c r="D84" i="63"/>
  <c r="L84" i="63" s="1"/>
  <c r="X82" i="63"/>
  <c r="Z82" i="63" s="1"/>
  <c r="L82" i="63"/>
  <c r="N82" i="63" s="1"/>
  <c r="B82" i="63"/>
  <c r="Z81" i="63"/>
  <c r="T81" i="63"/>
  <c r="P81" i="63"/>
  <c r="X81" i="63" s="1"/>
  <c r="H81" i="63"/>
  <c r="D81" i="63"/>
  <c r="L81" i="63" s="1"/>
  <c r="B81" i="63"/>
  <c r="X80" i="63"/>
  <c r="Z80" i="63" s="1"/>
  <c r="V80" i="63"/>
  <c r="N80" i="63"/>
  <c r="L80" i="63"/>
  <c r="J80" i="63"/>
  <c r="B80" i="63"/>
  <c r="X79" i="63"/>
  <c r="Z79" i="63" s="1"/>
  <c r="L79" i="63"/>
  <c r="N79" i="63" s="1"/>
  <c r="B79" i="63"/>
  <c r="Z78" i="63"/>
  <c r="X78" i="63"/>
  <c r="N78" i="63"/>
  <c r="L78" i="63"/>
  <c r="B78" i="63"/>
  <c r="Z77" i="63"/>
  <c r="X77" i="63"/>
  <c r="V77" i="63"/>
  <c r="N77" i="63"/>
  <c r="L77" i="63"/>
  <c r="J77" i="63"/>
  <c r="B77" i="63"/>
  <c r="X76" i="63"/>
  <c r="V76" i="63"/>
  <c r="T76" i="63"/>
  <c r="P76" i="63"/>
  <c r="H76" i="63"/>
  <c r="D76" i="63"/>
  <c r="B76" i="63"/>
  <c r="Z75" i="63"/>
  <c r="X75" i="63"/>
  <c r="N75" i="63"/>
  <c r="L75" i="63"/>
  <c r="B75" i="63"/>
  <c r="T74" i="63"/>
  <c r="P74" i="63"/>
  <c r="J74" i="63"/>
  <c r="H74" i="63"/>
  <c r="N74" i="63" s="1"/>
  <c r="D74" i="63"/>
  <c r="L74" i="63" s="1"/>
  <c r="B74" i="63"/>
  <c r="Z73" i="63"/>
  <c r="X73" i="63"/>
  <c r="V73" i="63"/>
  <c r="N73" i="63"/>
  <c r="L73" i="63"/>
  <c r="J73" i="63"/>
  <c r="B73" i="63"/>
  <c r="Z72" i="63"/>
  <c r="X72" i="63"/>
  <c r="V72" i="63"/>
  <c r="N72" i="63"/>
  <c r="L72" i="63"/>
  <c r="J72" i="63"/>
  <c r="B72" i="63"/>
  <c r="Z71" i="63"/>
  <c r="T71" i="63"/>
  <c r="P71" i="63"/>
  <c r="X71" i="63" s="1"/>
  <c r="H71" i="63"/>
  <c r="J71" i="63" s="1"/>
  <c r="D71" i="63"/>
  <c r="B71" i="63"/>
  <c r="Z70" i="63"/>
  <c r="X70" i="63"/>
  <c r="N70" i="63"/>
  <c r="L70" i="63"/>
  <c r="B70" i="63"/>
  <c r="Z69" i="63"/>
  <c r="X69" i="63"/>
  <c r="V69" i="63"/>
  <c r="N69" i="63"/>
  <c r="L69" i="63"/>
  <c r="J69" i="63"/>
  <c r="B69" i="63"/>
  <c r="V68" i="63"/>
  <c r="T68" i="63"/>
  <c r="Z68" i="63" s="1"/>
  <c r="P68" i="63"/>
  <c r="X68" i="63" s="1"/>
  <c r="N68" i="63"/>
  <c r="H68" i="63"/>
  <c r="D68" i="63"/>
  <c r="L68" i="63" s="1"/>
  <c r="B68" i="63"/>
  <c r="X67" i="63"/>
  <c r="Z67" i="63" s="1"/>
  <c r="L67" i="63"/>
  <c r="N67" i="63" s="1"/>
  <c r="B67" i="63"/>
  <c r="T66" i="63"/>
  <c r="P66" i="63"/>
  <c r="X66" i="63" s="1"/>
  <c r="Z66" i="63" s="1"/>
  <c r="L66" i="63"/>
  <c r="J66" i="63"/>
  <c r="H66" i="63"/>
  <c r="N66" i="63" s="1"/>
  <c r="D66" i="63"/>
  <c r="B66" i="63"/>
  <c r="Z65" i="63"/>
  <c r="X65" i="63"/>
  <c r="V65" i="63"/>
  <c r="N65" i="63"/>
  <c r="L65" i="63"/>
  <c r="J65" i="63"/>
  <c r="B65" i="63"/>
  <c r="X64" i="63"/>
  <c r="V64" i="63"/>
  <c r="T64" i="63"/>
  <c r="Z64" i="63" s="1"/>
  <c r="P64" i="63"/>
  <c r="H64" i="63"/>
  <c r="D64" i="63"/>
  <c r="B64" i="63"/>
  <c r="Z63" i="63"/>
  <c r="X63" i="63"/>
  <c r="N63" i="63"/>
  <c r="L63" i="63"/>
  <c r="B63" i="63"/>
  <c r="T62" i="63"/>
  <c r="P62" i="63"/>
  <c r="J62" i="63"/>
  <c r="H62" i="63"/>
  <c r="N62" i="63" s="1"/>
  <c r="D62" i="63"/>
  <c r="L62" i="63" s="1"/>
  <c r="B62" i="63"/>
  <c r="Z61" i="63"/>
  <c r="X61" i="63"/>
  <c r="V61" i="63"/>
  <c r="N61" i="63"/>
  <c r="L61" i="63"/>
  <c r="J61" i="63"/>
  <c r="B61" i="63"/>
  <c r="Z60" i="63"/>
  <c r="X60" i="63"/>
  <c r="V60" i="63"/>
  <c r="N60" i="63"/>
  <c r="L60" i="63"/>
  <c r="J60" i="63"/>
  <c r="B60" i="63"/>
  <c r="Z59" i="63"/>
  <c r="T59" i="63"/>
  <c r="P59" i="63"/>
  <c r="X59" i="63" s="1"/>
  <c r="H59" i="63"/>
  <c r="J59" i="63" s="1"/>
  <c r="D59" i="63"/>
  <c r="B59" i="63"/>
  <c r="Z58" i="63"/>
  <c r="X58" i="63"/>
  <c r="N58" i="63"/>
  <c r="L58" i="63"/>
  <c r="B58" i="63"/>
  <c r="T57" i="63"/>
  <c r="V57" i="63" s="1"/>
  <c r="P57" i="63"/>
  <c r="L57" i="63"/>
  <c r="N57" i="63" s="1"/>
  <c r="H57" i="63"/>
  <c r="D57" i="63"/>
  <c r="B57" i="63"/>
  <c r="X56" i="63"/>
  <c r="Z56" i="63" s="1"/>
  <c r="V56" i="63"/>
  <c r="L56" i="63"/>
  <c r="N56" i="63" s="1"/>
  <c r="J56" i="63"/>
  <c r="B56" i="63"/>
  <c r="X55" i="63"/>
  <c r="Z55" i="63" s="1"/>
  <c r="T55" i="63"/>
  <c r="P55" i="63"/>
  <c r="H55" i="63"/>
  <c r="D55" i="63"/>
  <c r="L55" i="63" s="1"/>
  <c r="B55" i="63"/>
  <c r="Z54" i="63"/>
  <c r="X54" i="63"/>
  <c r="N54" i="63"/>
  <c r="L54" i="63"/>
  <c r="B54" i="63"/>
  <c r="T53" i="63"/>
  <c r="P53" i="63"/>
  <c r="H53" i="63"/>
  <c r="D53" i="63"/>
  <c r="L53" i="63" s="1"/>
  <c r="N53" i="63" s="1"/>
  <c r="B53" i="63"/>
  <c r="Z52" i="63"/>
  <c r="X52" i="63"/>
  <c r="V52" i="63"/>
  <c r="N52" i="63"/>
  <c r="L52" i="63"/>
  <c r="J52" i="63"/>
  <c r="B52" i="63"/>
  <c r="Z51" i="63"/>
  <c r="X51" i="63"/>
  <c r="N51" i="63"/>
  <c r="L51" i="63"/>
  <c r="B51" i="63"/>
  <c r="Z50" i="63"/>
  <c r="X50" i="63"/>
  <c r="N50" i="63"/>
  <c r="L50" i="63"/>
  <c r="B50" i="63"/>
  <c r="Z49" i="63"/>
  <c r="X49" i="63"/>
  <c r="V49" i="63"/>
  <c r="N49" i="63"/>
  <c r="L49" i="63"/>
  <c r="J49" i="63"/>
  <c r="B49" i="63"/>
  <c r="Z48" i="63"/>
  <c r="X48" i="63"/>
  <c r="V48" i="63"/>
  <c r="N48" i="63"/>
  <c r="L48" i="63"/>
  <c r="J48" i="63"/>
  <c r="B48" i="63"/>
  <c r="Z47" i="63"/>
  <c r="X47" i="63"/>
  <c r="N47" i="63"/>
  <c r="L47" i="63"/>
  <c r="B47" i="63"/>
  <c r="Z46" i="63"/>
  <c r="X46" i="63"/>
  <c r="N46" i="63"/>
  <c r="L46" i="63"/>
  <c r="B46" i="63"/>
  <c r="Z45" i="63"/>
  <c r="X45" i="63"/>
  <c r="V45" i="63"/>
  <c r="N45" i="63"/>
  <c r="L45" i="63"/>
  <c r="J45" i="63"/>
  <c r="B45" i="63"/>
  <c r="Z44" i="63"/>
  <c r="X44" i="63"/>
  <c r="V44" i="63"/>
  <c r="N44" i="63"/>
  <c r="L44" i="63"/>
  <c r="J44" i="63"/>
  <c r="B44" i="63"/>
  <c r="Z43" i="63"/>
  <c r="X43" i="63"/>
  <c r="N43" i="63"/>
  <c r="L43" i="63"/>
  <c r="B43" i="63"/>
  <c r="T42" i="63"/>
  <c r="P42" i="63"/>
  <c r="H42" i="63"/>
  <c r="J42" i="63" s="1"/>
  <c r="D42" i="63"/>
  <c r="L42" i="63" s="1"/>
  <c r="B42" i="63"/>
  <c r="Z41" i="63"/>
  <c r="X41" i="63"/>
  <c r="V41" i="63"/>
  <c r="N41" i="63"/>
  <c r="L41" i="63"/>
  <c r="J41" i="63"/>
  <c r="B41" i="63"/>
  <c r="Z40" i="63"/>
  <c r="X40" i="63"/>
  <c r="V40" i="63"/>
  <c r="N40" i="63"/>
  <c r="L40" i="63"/>
  <c r="J40" i="63"/>
  <c r="B40" i="63"/>
  <c r="Z39" i="63"/>
  <c r="X39" i="63"/>
  <c r="V39" i="63"/>
  <c r="N39" i="63"/>
  <c r="L39" i="63"/>
  <c r="B39" i="63"/>
  <c r="Z38" i="63"/>
  <c r="X38" i="63"/>
  <c r="N38" i="63"/>
  <c r="L38" i="63"/>
  <c r="B38" i="63"/>
  <c r="Z37" i="63"/>
  <c r="X37" i="63"/>
  <c r="V37" i="63"/>
  <c r="N37" i="63"/>
  <c r="L37" i="63"/>
  <c r="J37" i="63"/>
  <c r="B37" i="63"/>
  <c r="Z36" i="63"/>
  <c r="X36" i="63"/>
  <c r="V36" i="63"/>
  <c r="N36" i="63"/>
  <c r="L36" i="63"/>
  <c r="J36" i="63"/>
  <c r="B36" i="63"/>
  <c r="Z35" i="63"/>
  <c r="X35" i="63"/>
  <c r="L35" i="63"/>
  <c r="N35" i="63" s="1"/>
  <c r="J35" i="63"/>
  <c r="B35" i="63"/>
  <c r="Z34" i="63"/>
  <c r="X34" i="63"/>
  <c r="L34" i="63"/>
  <c r="N34" i="63" s="1"/>
  <c r="B34" i="63"/>
  <c r="T33" i="63"/>
  <c r="V33" i="63" s="1"/>
  <c r="P33" i="63"/>
  <c r="L33" i="63"/>
  <c r="N33" i="63" s="1"/>
  <c r="H33" i="63"/>
  <c r="D33" i="63"/>
  <c r="B33" i="63"/>
  <c r="X32" i="63"/>
  <c r="T32" i="63" a="1"/>
  <c r="T32" i="63" s="1"/>
  <c r="P32" i="63" a="1"/>
  <c r="P32" i="63"/>
  <c r="J32" i="63"/>
  <c r="H32" i="63" a="1"/>
  <c r="H32" i="63" s="1"/>
  <c r="D32" i="63" a="1"/>
  <c r="D32" i="63" s="1"/>
  <c r="L32" i="63" s="1"/>
  <c r="Z28" i="63"/>
  <c r="X28" i="63"/>
  <c r="V28" i="63"/>
  <c r="N28" i="63"/>
  <c r="L28" i="63"/>
  <c r="J28" i="63"/>
  <c r="B28" i="63"/>
  <c r="Z27" i="63"/>
  <c r="X27" i="63"/>
  <c r="V27" i="63"/>
  <c r="N27" i="63"/>
  <c r="L27" i="63"/>
  <c r="J27" i="63"/>
  <c r="B27" i="63"/>
  <c r="Z26" i="63"/>
  <c r="X26" i="63"/>
  <c r="N26" i="63"/>
  <c r="L26" i="63"/>
  <c r="B26" i="63"/>
  <c r="Z25" i="63"/>
  <c r="X25" i="63"/>
  <c r="V25" i="63"/>
  <c r="N25" i="63"/>
  <c r="L25" i="63"/>
  <c r="J25" i="63"/>
  <c r="B25" i="63"/>
  <c r="Z24" i="63"/>
  <c r="X24" i="63"/>
  <c r="V24" i="63"/>
  <c r="N24" i="63"/>
  <c r="L24" i="63"/>
  <c r="J24" i="63"/>
  <c r="B24" i="63"/>
  <c r="Z23" i="63"/>
  <c r="X23" i="63"/>
  <c r="V23" i="63"/>
  <c r="N23" i="63"/>
  <c r="L23" i="63"/>
  <c r="J23" i="63"/>
  <c r="B23" i="63"/>
  <c r="Z22" i="63"/>
  <c r="X22" i="63"/>
  <c r="N22" i="63"/>
  <c r="L22" i="63"/>
  <c r="B22" i="63"/>
  <c r="Z21" i="63"/>
  <c r="X21" i="63"/>
  <c r="V21" i="63"/>
  <c r="N21" i="63"/>
  <c r="L21" i="63"/>
  <c r="J21" i="63"/>
  <c r="B21" i="63"/>
  <c r="Z20" i="63"/>
  <c r="X20" i="63"/>
  <c r="V20" i="63"/>
  <c r="N20" i="63"/>
  <c r="L20" i="63"/>
  <c r="J20" i="63"/>
  <c r="B20" i="63"/>
  <c r="X19" i="63"/>
  <c r="Z19" i="63" s="1"/>
  <c r="V19" i="63"/>
  <c r="N19" i="63"/>
  <c r="L19" i="63"/>
  <c r="J19" i="63"/>
  <c r="B19" i="63"/>
  <c r="T18" i="63"/>
  <c r="T30" i="63" s="1"/>
  <c r="P18" i="63"/>
  <c r="H18" i="63"/>
  <c r="D18" i="63"/>
  <c r="Z16" i="63"/>
  <c r="X16" i="63"/>
  <c r="P16" i="63"/>
  <c r="N16" i="63"/>
  <c r="L16" i="63"/>
  <c r="D16" i="63"/>
  <c r="B16" i="63"/>
  <c r="Z15" i="63"/>
  <c r="X15" i="63"/>
  <c r="P15" i="63"/>
  <c r="N15" i="63"/>
  <c r="D15" i="63"/>
  <c r="B15" i="63"/>
  <c r="P14" i="63"/>
  <c r="D14" i="63"/>
  <c r="L14" i="63" s="1"/>
  <c r="N14" i="63" s="1"/>
  <c r="B14" i="63"/>
  <c r="P13" i="63"/>
  <c r="X13" i="63" s="1"/>
  <c r="Z13" i="63" s="1"/>
  <c r="N13" i="63"/>
  <c r="L13" i="63"/>
  <c r="D13" i="63"/>
  <c r="B13" i="63"/>
  <c r="T12" i="63"/>
  <c r="V81" i="63" s="1"/>
  <c r="H12" i="63"/>
  <c r="D6" i="63"/>
  <c r="D4" i="63"/>
  <c r="V108" i="62"/>
  <c r="Z103" i="62"/>
  <c r="X103" i="62"/>
  <c r="N103" i="62"/>
  <c r="L103" i="62"/>
  <c r="J103" i="62"/>
  <c r="X99" i="62"/>
  <c r="Z99" i="62" s="1"/>
  <c r="P99" i="62"/>
  <c r="N99" i="62"/>
  <c r="L99" i="62"/>
  <c r="D99" i="62"/>
  <c r="B99" i="62"/>
  <c r="Z98" i="62"/>
  <c r="P98" i="62"/>
  <c r="X98" i="62" s="1"/>
  <c r="L98" i="62"/>
  <c r="N98" i="62" s="1"/>
  <c r="J98" i="62"/>
  <c r="F98" i="62"/>
  <c r="D98" i="62"/>
  <c r="B98" i="62"/>
  <c r="T97" i="62"/>
  <c r="P97" i="62"/>
  <c r="X97" i="62" s="1"/>
  <c r="Z97" i="62" s="1"/>
  <c r="L97" i="62"/>
  <c r="J97" i="62"/>
  <c r="H97" i="62"/>
  <c r="N97" i="62" s="1"/>
  <c r="D97" i="62"/>
  <c r="X95" i="62"/>
  <c r="Z95" i="62" s="1"/>
  <c r="N95" i="62"/>
  <c r="L95" i="62"/>
  <c r="B95" i="62"/>
  <c r="Z94" i="62"/>
  <c r="V94" i="62"/>
  <c r="T94" i="62"/>
  <c r="P94" i="62"/>
  <c r="X94" i="62" s="1"/>
  <c r="J94" i="62"/>
  <c r="H94" i="62"/>
  <c r="F94" i="62"/>
  <c r="D94" i="62"/>
  <c r="L94" i="62" s="1"/>
  <c r="N94" i="62" s="1"/>
  <c r="B94" i="62"/>
  <c r="Z93" i="62"/>
  <c r="X93" i="62"/>
  <c r="N93" i="62"/>
  <c r="L93" i="62"/>
  <c r="J93" i="62"/>
  <c r="B93" i="62"/>
  <c r="X92" i="62"/>
  <c r="Z92" i="62" s="1"/>
  <c r="L92" i="62"/>
  <c r="N92" i="62" s="1"/>
  <c r="B92" i="62"/>
  <c r="T91" i="62"/>
  <c r="X91" i="62" s="1"/>
  <c r="Z91" i="62" s="1"/>
  <c r="P91" i="62"/>
  <c r="J91" i="62"/>
  <c r="H91" i="62"/>
  <c r="D91" i="62"/>
  <c r="B91" i="62"/>
  <c r="Z90" i="62"/>
  <c r="X90" i="62"/>
  <c r="N90" i="62"/>
  <c r="L90" i="62"/>
  <c r="J90" i="62"/>
  <c r="B90" i="62"/>
  <c r="T89" i="62"/>
  <c r="P89" i="62"/>
  <c r="H89" i="62"/>
  <c r="D89" i="62"/>
  <c r="L89" i="62" s="1"/>
  <c r="N89" i="62" s="1"/>
  <c r="B89" i="62"/>
  <c r="X88" i="62"/>
  <c r="Z88" i="62" s="1"/>
  <c r="L88" i="62"/>
  <c r="N88" i="62" s="1"/>
  <c r="J88" i="62"/>
  <c r="B88" i="62"/>
  <c r="T87" i="62"/>
  <c r="R87" i="62"/>
  <c r="P87" i="62"/>
  <c r="X87" i="62" s="1"/>
  <c r="Z87" i="62" s="1"/>
  <c r="L87" i="62"/>
  <c r="J87" i="62"/>
  <c r="H87" i="62"/>
  <c r="D87" i="62"/>
  <c r="B87" i="62"/>
  <c r="Z86" i="62"/>
  <c r="X86" i="62"/>
  <c r="N86" i="62"/>
  <c r="L86" i="62"/>
  <c r="B86" i="62"/>
  <c r="Z85" i="62"/>
  <c r="X85" i="62"/>
  <c r="N85" i="62"/>
  <c r="L85" i="62"/>
  <c r="J85" i="62"/>
  <c r="B85" i="62"/>
  <c r="X84" i="62"/>
  <c r="Z84" i="62" s="1"/>
  <c r="L84" i="62"/>
  <c r="N84" i="62" s="1"/>
  <c r="J84" i="62"/>
  <c r="B84" i="62"/>
  <c r="Z83" i="62"/>
  <c r="X83" i="62"/>
  <c r="N83" i="62"/>
  <c r="L83" i="62"/>
  <c r="F83" i="62"/>
  <c r="B83" i="62"/>
  <c r="Z82" i="62"/>
  <c r="X82" i="62"/>
  <c r="N82" i="62"/>
  <c r="L82" i="62"/>
  <c r="J82" i="62"/>
  <c r="F82" i="62"/>
  <c r="B82" i="62"/>
  <c r="X81" i="62"/>
  <c r="Z81" i="62" s="1"/>
  <c r="L81" i="62"/>
  <c r="N81" i="62" s="1"/>
  <c r="J81" i="62"/>
  <c r="B81" i="62"/>
  <c r="X80" i="62"/>
  <c r="Z80" i="62" s="1"/>
  <c r="T80" i="62"/>
  <c r="P80" i="62"/>
  <c r="H80" i="62"/>
  <c r="D80" i="62"/>
  <c r="B80" i="62"/>
  <c r="Z79" i="62"/>
  <c r="X79" i="62"/>
  <c r="L79" i="62"/>
  <c r="N79" i="62" s="1"/>
  <c r="B79" i="62"/>
  <c r="T78" i="62"/>
  <c r="R78" i="62"/>
  <c r="P78" i="62"/>
  <c r="X78" i="62" s="1"/>
  <c r="H78" i="62"/>
  <c r="D78" i="62"/>
  <c r="L78" i="62" s="1"/>
  <c r="N78" i="62" s="1"/>
  <c r="B78" i="62"/>
  <c r="Z77" i="62"/>
  <c r="X77" i="62"/>
  <c r="N77" i="62"/>
  <c r="L77" i="62"/>
  <c r="J77" i="62"/>
  <c r="B77" i="62"/>
  <c r="X76" i="62"/>
  <c r="Z76" i="62" s="1"/>
  <c r="L76" i="62"/>
  <c r="N76" i="62" s="1"/>
  <c r="J76" i="62"/>
  <c r="B76" i="62"/>
  <c r="T75" i="62"/>
  <c r="P75" i="62"/>
  <c r="X75" i="62" s="1"/>
  <c r="Z75" i="62" s="1"/>
  <c r="L75" i="62"/>
  <c r="J75" i="62"/>
  <c r="H75" i="62"/>
  <c r="D75" i="62"/>
  <c r="B75" i="62"/>
  <c r="Z74" i="62"/>
  <c r="X74" i="62"/>
  <c r="R74" i="62"/>
  <c r="N74" i="62"/>
  <c r="L74" i="62"/>
  <c r="B74" i="62"/>
  <c r="X73" i="62"/>
  <c r="Z73" i="62" s="1"/>
  <c r="L73" i="62"/>
  <c r="N73" i="62" s="1"/>
  <c r="J73" i="62"/>
  <c r="B73" i="62"/>
  <c r="X72" i="62"/>
  <c r="Z72" i="62" s="1"/>
  <c r="L72" i="62"/>
  <c r="N72" i="62" s="1"/>
  <c r="J72" i="62"/>
  <c r="B72" i="62"/>
  <c r="Z71" i="62"/>
  <c r="X71" i="62"/>
  <c r="N71" i="62"/>
  <c r="L71" i="62"/>
  <c r="B71" i="62"/>
  <c r="T70" i="62"/>
  <c r="P70" i="62"/>
  <c r="X70" i="62" s="1"/>
  <c r="L70" i="62"/>
  <c r="N70" i="62" s="1"/>
  <c r="H70" i="62"/>
  <c r="D70" i="62"/>
  <c r="B70" i="62"/>
  <c r="X69" i="62"/>
  <c r="Z69" i="62" s="1"/>
  <c r="L69" i="62"/>
  <c r="N69" i="62" s="1"/>
  <c r="J69" i="62"/>
  <c r="F69" i="62"/>
  <c r="B69" i="62"/>
  <c r="X68" i="62"/>
  <c r="Z68" i="62" s="1"/>
  <c r="T68" i="62"/>
  <c r="P68" i="62"/>
  <c r="N68" i="62"/>
  <c r="J68" i="62"/>
  <c r="H68" i="62"/>
  <c r="L68" i="62" s="1"/>
  <c r="D68" i="62"/>
  <c r="B68" i="62"/>
  <c r="Z67" i="62"/>
  <c r="X67" i="62"/>
  <c r="N67" i="62"/>
  <c r="L67" i="62"/>
  <c r="B67" i="62"/>
  <c r="T66" i="62"/>
  <c r="X66" i="62" s="1"/>
  <c r="P66" i="62"/>
  <c r="N66" i="62"/>
  <c r="L66" i="62"/>
  <c r="J66" i="62"/>
  <c r="H66" i="62"/>
  <c r="D66" i="62"/>
  <c r="B66" i="62"/>
  <c r="X65" i="62"/>
  <c r="Z65" i="62" s="1"/>
  <c r="R65" i="62"/>
  <c r="L65" i="62"/>
  <c r="N65" i="62" s="1"/>
  <c r="J65" i="62"/>
  <c r="B65" i="62"/>
  <c r="T64" i="62"/>
  <c r="P64" i="62"/>
  <c r="X64" i="62" s="1"/>
  <c r="Z64" i="62" s="1"/>
  <c r="H64" i="62"/>
  <c r="F64" i="62"/>
  <c r="D64" i="62"/>
  <c r="B64" i="62"/>
  <c r="Z63" i="62"/>
  <c r="X63" i="62"/>
  <c r="L63" i="62"/>
  <c r="N63" i="62" s="1"/>
  <c r="B63" i="62"/>
  <c r="T62" i="62"/>
  <c r="P62" i="62"/>
  <c r="X62" i="62" s="1"/>
  <c r="H62" i="62"/>
  <c r="D62" i="62"/>
  <c r="L62" i="62" s="1"/>
  <c r="N62" i="62" s="1"/>
  <c r="B62" i="62"/>
  <c r="X61" i="62"/>
  <c r="Z61" i="62" s="1"/>
  <c r="L61" i="62"/>
  <c r="N61" i="62" s="1"/>
  <c r="J61" i="62"/>
  <c r="B61" i="62"/>
  <c r="X60" i="62"/>
  <c r="Z60" i="62" s="1"/>
  <c r="T60" i="62"/>
  <c r="P60" i="62"/>
  <c r="N60" i="62"/>
  <c r="J60" i="62"/>
  <c r="H60" i="62"/>
  <c r="L60" i="62" s="1"/>
  <c r="D60" i="62"/>
  <c r="B60" i="62"/>
  <c r="Z59" i="62"/>
  <c r="X59" i="62"/>
  <c r="N59" i="62"/>
  <c r="L59" i="62"/>
  <c r="B59" i="62"/>
  <c r="Z58" i="62"/>
  <c r="T58" i="62"/>
  <c r="X58" i="62" s="1"/>
  <c r="P58" i="62"/>
  <c r="J58" i="62"/>
  <c r="H58" i="62"/>
  <c r="D58" i="62"/>
  <c r="L58" i="62" s="1"/>
  <c r="N58" i="62" s="1"/>
  <c r="B58" i="62"/>
  <c r="X57" i="62"/>
  <c r="Z57" i="62" s="1"/>
  <c r="L57" i="62"/>
  <c r="N57" i="62" s="1"/>
  <c r="J57" i="62"/>
  <c r="B57" i="62"/>
  <c r="X56" i="62"/>
  <c r="Z56" i="62" s="1"/>
  <c r="T56" i="62"/>
  <c r="P56" i="62"/>
  <c r="H56" i="62"/>
  <c r="D56" i="62"/>
  <c r="B56" i="62"/>
  <c r="Z55" i="62"/>
  <c r="X55" i="62"/>
  <c r="L55" i="62"/>
  <c r="N55" i="62" s="1"/>
  <c r="B55" i="62"/>
  <c r="T54" i="62"/>
  <c r="R54" i="62"/>
  <c r="P54" i="62"/>
  <c r="X54" i="62" s="1"/>
  <c r="H54" i="62"/>
  <c r="D54" i="62"/>
  <c r="L54" i="62" s="1"/>
  <c r="N54" i="62" s="1"/>
  <c r="B54" i="62"/>
  <c r="Z53" i="62"/>
  <c r="X53" i="62"/>
  <c r="N53" i="62"/>
  <c r="L53" i="62"/>
  <c r="J53" i="62"/>
  <c r="B53" i="62"/>
  <c r="Z52" i="62"/>
  <c r="X52" i="62"/>
  <c r="N52" i="62"/>
  <c r="L52" i="62"/>
  <c r="J52" i="62"/>
  <c r="B52" i="62"/>
  <c r="Z51" i="62"/>
  <c r="T51" i="62"/>
  <c r="P51" i="62"/>
  <c r="X51" i="62" s="1"/>
  <c r="L51" i="62"/>
  <c r="J51" i="62"/>
  <c r="H51" i="62"/>
  <c r="N51" i="62" s="1"/>
  <c r="D51" i="62"/>
  <c r="B51" i="62"/>
  <c r="Z50" i="62"/>
  <c r="X50" i="62"/>
  <c r="V50" i="62"/>
  <c r="N50" i="62"/>
  <c r="L50" i="62"/>
  <c r="B50" i="62"/>
  <c r="Z49" i="62"/>
  <c r="X49" i="62"/>
  <c r="V49" i="62"/>
  <c r="N49" i="62"/>
  <c r="L49" i="62"/>
  <c r="J49" i="62"/>
  <c r="B49" i="62"/>
  <c r="T48" i="62"/>
  <c r="P48" i="62"/>
  <c r="X48" i="62" s="1"/>
  <c r="Z48" i="62" s="1"/>
  <c r="N48" i="62"/>
  <c r="J48" i="62"/>
  <c r="H48" i="62"/>
  <c r="L48" i="62" s="1"/>
  <c r="D48" i="62"/>
  <c r="B48" i="62"/>
  <c r="X47" i="62"/>
  <c r="Z47" i="62" s="1"/>
  <c r="N47" i="62"/>
  <c r="L47" i="62"/>
  <c r="B47" i="62"/>
  <c r="Z46" i="62"/>
  <c r="T46" i="62"/>
  <c r="X46" i="62" s="1"/>
  <c r="P46" i="62"/>
  <c r="L46" i="62"/>
  <c r="N46" i="62" s="1"/>
  <c r="J46" i="62"/>
  <c r="H46" i="62"/>
  <c r="D46" i="62"/>
  <c r="B46" i="62"/>
  <c r="X45" i="62"/>
  <c r="Z45" i="62" s="1"/>
  <c r="V45" i="62"/>
  <c r="L45" i="62"/>
  <c r="N45" i="62" s="1"/>
  <c r="J45" i="62"/>
  <c r="B45" i="62"/>
  <c r="T44" i="62"/>
  <c r="R44" i="62"/>
  <c r="P44" i="62"/>
  <c r="X44" i="62" s="1"/>
  <c r="Z44" i="62" s="1"/>
  <c r="H44" i="62"/>
  <c r="D44" i="62"/>
  <c r="B44" i="62"/>
  <c r="Z43" i="62"/>
  <c r="X43" i="62"/>
  <c r="N43" i="62"/>
  <c r="L43" i="62"/>
  <c r="F43" i="62"/>
  <c r="B43" i="62"/>
  <c r="T42" i="62"/>
  <c r="Z42" i="62" s="1"/>
  <c r="P42" i="62"/>
  <c r="X42" i="62" s="1"/>
  <c r="N42" i="62"/>
  <c r="L42" i="62"/>
  <c r="H42" i="62"/>
  <c r="D42" i="62"/>
  <c r="B42" i="62"/>
  <c r="Z41" i="62"/>
  <c r="X41" i="62"/>
  <c r="N41" i="62"/>
  <c r="L41" i="62"/>
  <c r="J41" i="62"/>
  <c r="F41" i="62"/>
  <c r="B41" i="62"/>
  <c r="Z40" i="62"/>
  <c r="X40" i="62"/>
  <c r="N40" i="62"/>
  <c r="L40" i="62"/>
  <c r="J40" i="62"/>
  <c r="B40" i="62"/>
  <c r="Z39" i="62"/>
  <c r="X39" i="62"/>
  <c r="L39" i="62"/>
  <c r="N39" i="62" s="1"/>
  <c r="F39" i="62"/>
  <c r="B39" i="62"/>
  <c r="Z38" i="62"/>
  <c r="X38" i="62"/>
  <c r="R38" i="62"/>
  <c r="N38" i="62"/>
  <c r="L38" i="62"/>
  <c r="J38" i="62"/>
  <c r="F38" i="62"/>
  <c r="B38" i="62"/>
  <c r="Z37" i="62"/>
  <c r="X37" i="62"/>
  <c r="V37" i="62"/>
  <c r="N37" i="62"/>
  <c r="L37" i="62"/>
  <c r="J37" i="62"/>
  <c r="B37" i="62"/>
  <c r="Z36" i="62"/>
  <c r="X36" i="62"/>
  <c r="V36" i="62"/>
  <c r="N36" i="62"/>
  <c r="L36" i="62"/>
  <c r="B36" i="62"/>
  <c r="Z35" i="62"/>
  <c r="X35" i="62"/>
  <c r="R35" i="62"/>
  <c r="N35" i="62"/>
  <c r="L35" i="62"/>
  <c r="B35" i="62"/>
  <c r="Z34" i="62"/>
  <c r="X34" i="62"/>
  <c r="N34" i="62"/>
  <c r="L34" i="62"/>
  <c r="F34" i="62"/>
  <c r="B34" i="62"/>
  <c r="Z33" i="62"/>
  <c r="X33" i="62"/>
  <c r="V33" i="62"/>
  <c r="N33" i="62"/>
  <c r="L33" i="62"/>
  <c r="J33" i="62"/>
  <c r="F33" i="62"/>
  <c r="B33" i="62"/>
  <c r="X32" i="62"/>
  <c r="Z32" i="62" s="1"/>
  <c r="L32" i="62"/>
  <c r="N32" i="62" s="1"/>
  <c r="J32" i="62"/>
  <c r="B32" i="62"/>
  <c r="Z31" i="62"/>
  <c r="T31" i="62"/>
  <c r="P31" i="62"/>
  <c r="X31" i="62" s="1"/>
  <c r="L31" i="62"/>
  <c r="J31" i="62"/>
  <c r="H31" i="62"/>
  <c r="D31" i="62"/>
  <c r="B31" i="62"/>
  <c r="Z30" i="62"/>
  <c r="X30" i="62"/>
  <c r="N30" i="62"/>
  <c r="L30" i="62"/>
  <c r="F30" i="62"/>
  <c r="B30" i="62"/>
  <c r="X29" i="62"/>
  <c r="Z29" i="62" s="1"/>
  <c r="L29" i="62"/>
  <c r="N29" i="62" s="1"/>
  <c r="J29" i="62"/>
  <c r="F29" i="62"/>
  <c r="B29" i="62"/>
  <c r="Z28" i="62"/>
  <c r="X28" i="62"/>
  <c r="L28" i="62"/>
  <c r="N28" i="62" s="1"/>
  <c r="J28" i="62"/>
  <c r="B28" i="62"/>
  <c r="Z27" i="62"/>
  <c r="X27" i="62"/>
  <c r="N27" i="62"/>
  <c r="L27" i="62"/>
  <c r="F27" i="62"/>
  <c r="B27" i="62"/>
  <c r="Z26" i="62"/>
  <c r="X26" i="62"/>
  <c r="N26" i="62"/>
  <c r="L26" i="62"/>
  <c r="J26" i="62"/>
  <c r="F26" i="62"/>
  <c r="B26" i="62"/>
  <c r="X25" i="62"/>
  <c r="Z25" i="62" s="1"/>
  <c r="L25" i="62"/>
  <c r="N25" i="62" s="1"/>
  <c r="J25" i="62"/>
  <c r="B25" i="62"/>
  <c r="X24" i="62"/>
  <c r="Z24" i="62" s="1"/>
  <c r="V24" i="62"/>
  <c r="L24" i="62"/>
  <c r="N24" i="62" s="1"/>
  <c r="B24" i="62"/>
  <c r="Z23" i="62"/>
  <c r="X23" i="62"/>
  <c r="R23" i="62"/>
  <c r="N23" i="62"/>
  <c r="L23" i="62"/>
  <c r="B23" i="62"/>
  <c r="Z22" i="62"/>
  <c r="X22" i="62"/>
  <c r="V22" i="62"/>
  <c r="N22" i="62"/>
  <c r="L22" i="62"/>
  <c r="F22" i="62"/>
  <c r="B22" i="62"/>
  <c r="X21" i="62"/>
  <c r="Z21" i="62" s="1"/>
  <c r="V21" i="62"/>
  <c r="L21" i="62"/>
  <c r="N21" i="62" s="1"/>
  <c r="J21" i="62"/>
  <c r="F21" i="62"/>
  <c r="B21" i="62"/>
  <c r="T20" i="62"/>
  <c r="P20" i="62"/>
  <c r="X20" i="62" s="1"/>
  <c r="Z20" i="62" s="1"/>
  <c r="J20" i="62"/>
  <c r="H20" i="62"/>
  <c r="D20" i="62"/>
  <c r="B20" i="62"/>
  <c r="T19" i="62" a="1"/>
  <c r="T19" i="62" s="1"/>
  <c r="P19" i="62" a="1"/>
  <c r="P19" i="62"/>
  <c r="H19" i="62" a="1"/>
  <c r="H19" i="62" s="1"/>
  <c r="D19" i="62" a="1"/>
  <c r="D19" i="62"/>
  <c r="T17" i="62"/>
  <c r="R17" i="62"/>
  <c r="J17" i="62"/>
  <c r="H17" i="62"/>
  <c r="N17" i="62" s="1"/>
  <c r="Z15" i="62"/>
  <c r="X15" i="62"/>
  <c r="N15" i="62"/>
  <c r="L15" i="62"/>
  <c r="F15" i="62"/>
  <c r="B15" i="62"/>
  <c r="T14" i="62"/>
  <c r="P14" i="62"/>
  <c r="N14" i="62"/>
  <c r="L14" i="62"/>
  <c r="H14" i="62"/>
  <c r="D14" i="62"/>
  <c r="D17" i="62" s="1"/>
  <c r="Z12" i="62"/>
  <c r="T12" i="62"/>
  <c r="V101" i="62" s="1"/>
  <c r="P12" i="62"/>
  <c r="R93" i="62" s="1"/>
  <c r="H12" i="62"/>
  <c r="J86" i="62" s="1"/>
  <c r="D12" i="62"/>
  <c r="F101" i="62" s="1"/>
  <c r="D6" i="62"/>
  <c r="D4" i="62"/>
  <c r="R61" i="61"/>
  <c r="F61" i="61"/>
  <c r="Z59" i="61"/>
  <c r="X59" i="61"/>
  <c r="N59" i="61"/>
  <c r="L59" i="61"/>
  <c r="Z55" i="61"/>
  <c r="X55" i="61"/>
  <c r="T55" i="61"/>
  <c r="P55" i="61"/>
  <c r="H55" i="61"/>
  <c r="F55" i="61"/>
  <c r="D55" i="61"/>
  <c r="Z53" i="61"/>
  <c r="X53" i="61"/>
  <c r="N53" i="61"/>
  <c r="L53" i="61"/>
  <c r="B53" i="61"/>
  <c r="Z52" i="61"/>
  <c r="T52" i="61"/>
  <c r="R52" i="61"/>
  <c r="P52" i="61"/>
  <c r="X52" i="61" s="1"/>
  <c r="L52" i="61"/>
  <c r="H52" i="61"/>
  <c r="N52" i="61" s="1"/>
  <c r="D52" i="61"/>
  <c r="B52" i="61"/>
  <c r="Z51" i="61"/>
  <c r="X51" i="61"/>
  <c r="L51" i="61"/>
  <c r="N51" i="61" s="1"/>
  <c r="F51" i="61"/>
  <c r="B51" i="61"/>
  <c r="X50" i="61"/>
  <c r="Z50" i="61" s="1"/>
  <c r="L50" i="61"/>
  <c r="N50" i="61" s="1"/>
  <c r="F50" i="61"/>
  <c r="B50" i="61"/>
  <c r="T49" i="61"/>
  <c r="P49" i="61"/>
  <c r="X49" i="61" s="1"/>
  <c r="Z49" i="61" s="1"/>
  <c r="N49" i="61"/>
  <c r="H49" i="61"/>
  <c r="D49" i="61"/>
  <c r="L49" i="61" s="1"/>
  <c r="B49" i="61"/>
  <c r="X48" i="61"/>
  <c r="Z48" i="61" s="1"/>
  <c r="N48" i="61"/>
  <c r="L48" i="61"/>
  <c r="B48" i="61"/>
  <c r="T47" i="61"/>
  <c r="P47" i="61"/>
  <c r="X47" i="61" s="1"/>
  <c r="Z47" i="61" s="1"/>
  <c r="H47" i="61"/>
  <c r="F47" i="61"/>
  <c r="D47" i="61"/>
  <c r="L47" i="61" s="1"/>
  <c r="N47" i="61" s="1"/>
  <c r="B47" i="61"/>
  <c r="Z46" i="61"/>
  <c r="X46" i="61"/>
  <c r="R46" i="61"/>
  <c r="N46" i="61"/>
  <c r="L46" i="61"/>
  <c r="B46" i="61"/>
  <c r="X45" i="61"/>
  <c r="Z45" i="61" s="1"/>
  <c r="V45" i="61"/>
  <c r="L45" i="61"/>
  <c r="N45" i="61" s="1"/>
  <c r="B45" i="61"/>
  <c r="X44" i="61"/>
  <c r="T44" i="61"/>
  <c r="Z44" i="61" s="1"/>
  <c r="P44" i="61"/>
  <c r="H44" i="61"/>
  <c r="D44" i="61"/>
  <c r="B44" i="61"/>
  <c r="X43" i="61"/>
  <c r="Z43" i="61" s="1"/>
  <c r="N43" i="61"/>
  <c r="L43" i="61"/>
  <c r="F43" i="61"/>
  <c r="B43" i="61"/>
  <c r="T42" i="61"/>
  <c r="P42" i="61"/>
  <c r="N42" i="61"/>
  <c r="H42" i="61"/>
  <c r="F42" i="61"/>
  <c r="D42" i="61"/>
  <c r="L42" i="61" s="1"/>
  <c r="B42" i="61"/>
  <c r="X41" i="61"/>
  <c r="Z41" i="61" s="1"/>
  <c r="L41" i="61"/>
  <c r="N41" i="61" s="1"/>
  <c r="B41" i="61"/>
  <c r="Z40" i="61"/>
  <c r="T40" i="61"/>
  <c r="P40" i="61"/>
  <c r="X40" i="61" s="1"/>
  <c r="L40" i="61"/>
  <c r="H40" i="61"/>
  <c r="D40" i="61"/>
  <c r="B40" i="61"/>
  <c r="Z39" i="61"/>
  <c r="X39" i="61"/>
  <c r="N39" i="61"/>
  <c r="L39" i="61"/>
  <c r="F39" i="61"/>
  <c r="B39" i="61"/>
  <c r="Z38" i="61"/>
  <c r="X38" i="61"/>
  <c r="N38" i="61"/>
  <c r="L38" i="61"/>
  <c r="F38" i="61"/>
  <c r="B38" i="61"/>
  <c r="Z37" i="61"/>
  <c r="X37" i="61"/>
  <c r="L37" i="61"/>
  <c r="N37" i="61" s="1"/>
  <c r="B37" i="61"/>
  <c r="Z36" i="61"/>
  <c r="X36" i="61"/>
  <c r="N36" i="61"/>
  <c r="L36" i="61"/>
  <c r="F36" i="61"/>
  <c r="B36" i="61"/>
  <c r="Z35" i="61"/>
  <c r="X35" i="61"/>
  <c r="N35" i="61"/>
  <c r="L35" i="61"/>
  <c r="F35" i="61"/>
  <c r="B35" i="61"/>
  <c r="Z34" i="61"/>
  <c r="X34" i="61"/>
  <c r="R34" i="61"/>
  <c r="N34" i="61"/>
  <c r="L34" i="61"/>
  <c r="B34" i="61"/>
  <c r="X33" i="61"/>
  <c r="Z33" i="61" s="1"/>
  <c r="L33" i="61"/>
  <c r="N33" i="61" s="1"/>
  <c r="B33" i="61"/>
  <c r="Z32" i="61"/>
  <c r="X32" i="61"/>
  <c r="N32" i="61"/>
  <c r="L32" i="61"/>
  <c r="B32" i="61"/>
  <c r="Z31" i="61"/>
  <c r="X31" i="61"/>
  <c r="V31" i="61"/>
  <c r="N31" i="61"/>
  <c r="L31" i="61"/>
  <c r="F31" i="61"/>
  <c r="B31" i="61"/>
  <c r="Z30" i="61"/>
  <c r="X30" i="61"/>
  <c r="V30" i="61"/>
  <c r="N30" i="61"/>
  <c r="L30" i="61"/>
  <c r="F30" i="61"/>
  <c r="B30" i="61"/>
  <c r="T29" i="61"/>
  <c r="P29" i="61"/>
  <c r="X29" i="61" s="1"/>
  <c r="Z29" i="61" s="1"/>
  <c r="H29" i="61"/>
  <c r="D29" i="61"/>
  <c r="B29" i="61"/>
  <c r="X28" i="61"/>
  <c r="Z28" i="61" s="1"/>
  <c r="N28" i="61"/>
  <c r="L28" i="61"/>
  <c r="F28" i="61"/>
  <c r="B28" i="61"/>
  <c r="Z27" i="61"/>
  <c r="X27" i="61"/>
  <c r="V27" i="61"/>
  <c r="L27" i="61"/>
  <c r="N27" i="61" s="1"/>
  <c r="F27" i="61"/>
  <c r="B27" i="61"/>
  <c r="X26" i="61"/>
  <c r="Z26" i="61" s="1"/>
  <c r="V26" i="61"/>
  <c r="L26" i="61"/>
  <c r="N26" i="61" s="1"/>
  <c r="F26" i="61"/>
  <c r="B26" i="61"/>
  <c r="Z25" i="61"/>
  <c r="X25" i="61"/>
  <c r="N25" i="61"/>
  <c r="L25" i="61"/>
  <c r="B25" i="61"/>
  <c r="Z24" i="61"/>
  <c r="X24" i="61"/>
  <c r="N24" i="61"/>
  <c r="L24" i="61"/>
  <c r="F24" i="61"/>
  <c r="B24" i="61"/>
  <c r="X23" i="61"/>
  <c r="Z23" i="61" s="1"/>
  <c r="R23" i="61"/>
  <c r="N23" i="61"/>
  <c r="L23" i="61"/>
  <c r="F23" i="61"/>
  <c r="B23" i="61"/>
  <c r="X22" i="61"/>
  <c r="Z22" i="61" s="1"/>
  <c r="R22" i="61"/>
  <c r="L22" i="61"/>
  <c r="N22" i="61" s="1"/>
  <c r="B22" i="61"/>
  <c r="X21" i="61"/>
  <c r="Z21" i="61" s="1"/>
  <c r="N21" i="61"/>
  <c r="L21" i="61"/>
  <c r="F21" i="61"/>
  <c r="B21" i="61"/>
  <c r="X20" i="61"/>
  <c r="Z20" i="61" s="1"/>
  <c r="N20" i="61"/>
  <c r="L20" i="61"/>
  <c r="F20" i="61"/>
  <c r="B20" i="61"/>
  <c r="T19" i="61"/>
  <c r="P19" i="61"/>
  <c r="J19" i="61"/>
  <c r="H19" i="61"/>
  <c r="F19" i="61"/>
  <c r="D19" i="61"/>
  <c r="L19" i="61" s="1"/>
  <c r="N19" i="61" s="1"/>
  <c r="B19" i="61"/>
  <c r="T18" i="61" a="1"/>
  <c r="T18" i="61" s="1"/>
  <c r="P18" i="61" a="1"/>
  <c r="P18" i="61" s="1"/>
  <c r="X18" i="61" s="1"/>
  <c r="H18" i="61" a="1"/>
  <c r="H18" i="61" s="1"/>
  <c r="F18" i="61"/>
  <c r="D18" i="61" a="1"/>
  <c r="D18" i="61" s="1"/>
  <c r="F16" i="61"/>
  <c r="D16" i="61"/>
  <c r="T14" i="61"/>
  <c r="Z14" i="61" s="1"/>
  <c r="P14" i="61"/>
  <c r="X14" i="61" s="1"/>
  <c r="L14" i="61"/>
  <c r="H14" i="61"/>
  <c r="N14" i="61" s="1"/>
  <c r="F14" i="61"/>
  <c r="D14" i="61"/>
  <c r="T12" i="61"/>
  <c r="V47" i="61" s="1"/>
  <c r="P12" i="61"/>
  <c r="R44" i="61" s="1"/>
  <c r="H12" i="61"/>
  <c r="D12" i="61"/>
  <c r="F48" i="61" s="1"/>
  <c r="D6" i="61"/>
  <c r="D4" i="61"/>
  <c r="J65" i="60"/>
  <c r="R62" i="60"/>
  <c r="Z60" i="60"/>
  <c r="X60" i="60"/>
  <c r="R60" i="60"/>
  <c r="N60" i="60"/>
  <c r="L60" i="60"/>
  <c r="R58" i="60"/>
  <c r="T56" i="60"/>
  <c r="Z56" i="60" s="1"/>
  <c r="P56" i="60"/>
  <c r="L56" i="60"/>
  <c r="H56" i="60"/>
  <c r="N56" i="60" s="1"/>
  <c r="D56" i="60"/>
  <c r="Z54" i="60"/>
  <c r="X54" i="60"/>
  <c r="R54" i="60"/>
  <c r="N54" i="60"/>
  <c r="L54" i="60"/>
  <c r="B54" i="60"/>
  <c r="T53" i="60"/>
  <c r="P53" i="60"/>
  <c r="L53" i="60"/>
  <c r="N53" i="60" s="1"/>
  <c r="H53" i="60"/>
  <c r="D53" i="60"/>
  <c r="B53" i="60"/>
  <c r="Z52" i="60"/>
  <c r="X52" i="60"/>
  <c r="N52" i="60"/>
  <c r="L52" i="60"/>
  <c r="B52" i="60"/>
  <c r="X51" i="60"/>
  <c r="Z51" i="60" s="1"/>
  <c r="N51" i="60"/>
  <c r="L51" i="60"/>
  <c r="J51" i="60"/>
  <c r="B51" i="60"/>
  <c r="Z50" i="60"/>
  <c r="X50" i="60"/>
  <c r="R50" i="60"/>
  <c r="N50" i="60"/>
  <c r="L50" i="60"/>
  <c r="B50" i="60"/>
  <c r="V49" i="60"/>
  <c r="T49" i="60"/>
  <c r="R49" i="60"/>
  <c r="P49" i="60"/>
  <c r="X49" i="60" s="1"/>
  <c r="Z49" i="60" s="1"/>
  <c r="L49" i="60"/>
  <c r="N49" i="60" s="1"/>
  <c r="H49" i="60"/>
  <c r="D49" i="60"/>
  <c r="B49" i="60"/>
  <c r="Z48" i="60"/>
  <c r="X48" i="60"/>
  <c r="L48" i="60"/>
  <c r="N48" i="60" s="1"/>
  <c r="B48" i="60"/>
  <c r="X47" i="60"/>
  <c r="Z47" i="60" s="1"/>
  <c r="T47" i="60"/>
  <c r="R47" i="60"/>
  <c r="P47" i="60"/>
  <c r="H47" i="60"/>
  <c r="L47" i="60" s="1"/>
  <c r="N47" i="60" s="1"/>
  <c r="D47" i="60"/>
  <c r="B47" i="60"/>
  <c r="Z46" i="60"/>
  <c r="X46" i="60"/>
  <c r="N46" i="60"/>
  <c r="L46" i="60"/>
  <c r="B46" i="60"/>
  <c r="Z45" i="60"/>
  <c r="X45" i="60"/>
  <c r="N45" i="60"/>
  <c r="L45" i="60"/>
  <c r="J45" i="60"/>
  <c r="B45" i="60"/>
  <c r="T44" i="60"/>
  <c r="P44" i="60"/>
  <c r="X44" i="60" s="1"/>
  <c r="L44" i="60"/>
  <c r="N44" i="60" s="1"/>
  <c r="H44" i="60"/>
  <c r="D44" i="60"/>
  <c r="B44" i="60"/>
  <c r="Z43" i="60"/>
  <c r="X43" i="60"/>
  <c r="V43" i="60"/>
  <c r="L43" i="60"/>
  <c r="N43" i="60" s="1"/>
  <c r="B43" i="60"/>
  <c r="X42" i="60"/>
  <c r="Z42" i="60" s="1"/>
  <c r="T42" i="60"/>
  <c r="P42" i="60"/>
  <c r="L42" i="60"/>
  <c r="H42" i="60"/>
  <c r="D42" i="60"/>
  <c r="B42" i="60"/>
  <c r="Z41" i="60"/>
  <c r="X41" i="60"/>
  <c r="V41" i="60"/>
  <c r="N41" i="60"/>
  <c r="L41" i="60"/>
  <c r="B41" i="60"/>
  <c r="T40" i="60"/>
  <c r="X40" i="60" s="1"/>
  <c r="P40" i="60"/>
  <c r="H40" i="60"/>
  <c r="N40" i="60" s="1"/>
  <c r="D40" i="60"/>
  <c r="L40" i="60" s="1"/>
  <c r="B40" i="60"/>
  <c r="Z39" i="60"/>
  <c r="X39" i="60"/>
  <c r="N39" i="60"/>
  <c r="L39" i="60"/>
  <c r="J39" i="60"/>
  <c r="B39" i="60"/>
  <c r="Z38" i="60"/>
  <c r="X38" i="60"/>
  <c r="R38" i="60"/>
  <c r="N38" i="60"/>
  <c r="L38" i="60"/>
  <c r="B38" i="60"/>
  <c r="Z37" i="60"/>
  <c r="X37" i="60"/>
  <c r="V37" i="60"/>
  <c r="N37" i="60"/>
  <c r="L37" i="60"/>
  <c r="B37" i="60"/>
  <c r="Z36" i="60"/>
  <c r="X36" i="60"/>
  <c r="R36" i="60"/>
  <c r="N36" i="60"/>
  <c r="L36" i="60"/>
  <c r="B36" i="60"/>
  <c r="Z35" i="60"/>
  <c r="X35" i="60"/>
  <c r="V35" i="60"/>
  <c r="N35" i="60"/>
  <c r="L35" i="60"/>
  <c r="B35" i="60"/>
  <c r="Z34" i="60"/>
  <c r="X34" i="60"/>
  <c r="N34" i="60"/>
  <c r="L34" i="60"/>
  <c r="B34" i="60"/>
  <c r="Z33" i="60"/>
  <c r="X33" i="60"/>
  <c r="N33" i="60"/>
  <c r="L33" i="60"/>
  <c r="J33" i="60"/>
  <c r="B33" i="60"/>
  <c r="Z32" i="60"/>
  <c r="X32" i="60"/>
  <c r="N32" i="60"/>
  <c r="L32" i="60"/>
  <c r="B32" i="60"/>
  <c r="Z31" i="60"/>
  <c r="X31" i="60"/>
  <c r="N31" i="60"/>
  <c r="L31" i="60"/>
  <c r="J31" i="60"/>
  <c r="B31" i="60"/>
  <c r="Z30" i="60"/>
  <c r="X30" i="60"/>
  <c r="R30" i="60"/>
  <c r="N30" i="60"/>
  <c r="L30" i="60"/>
  <c r="B30" i="60"/>
  <c r="V29" i="60"/>
  <c r="T29" i="60"/>
  <c r="R29" i="60"/>
  <c r="P29" i="60"/>
  <c r="X29" i="60" s="1"/>
  <c r="Z29" i="60" s="1"/>
  <c r="L29" i="60"/>
  <c r="N29" i="60" s="1"/>
  <c r="H29" i="60"/>
  <c r="D29" i="60"/>
  <c r="B29" i="60"/>
  <c r="Z28" i="60"/>
  <c r="X28" i="60"/>
  <c r="L28" i="60"/>
  <c r="N28" i="60" s="1"/>
  <c r="F28" i="60"/>
  <c r="B28" i="60"/>
  <c r="X27" i="60"/>
  <c r="Z27" i="60" s="1"/>
  <c r="N27" i="60"/>
  <c r="L27" i="60"/>
  <c r="J27" i="60"/>
  <c r="B27" i="60"/>
  <c r="Z26" i="60"/>
  <c r="X26" i="60"/>
  <c r="R26" i="60"/>
  <c r="L26" i="60"/>
  <c r="N26" i="60" s="1"/>
  <c r="B26" i="60"/>
  <c r="Z25" i="60"/>
  <c r="X25" i="60"/>
  <c r="V25" i="60"/>
  <c r="N25" i="60"/>
  <c r="L25" i="60"/>
  <c r="B25" i="60"/>
  <c r="Z24" i="60"/>
  <c r="X24" i="60"/>
  <c r="R24" i="60"/>
  <c r="N24" i="60"/>
  <c r="L24" i="60"/>
  <c r="B24" i="60"/>
  <c r="Z23" i="60"/>
  <c r="X23" i="60"/>
  <c r="V23" i="60"/>
  <c r="L23" i="60"/>
  <c r="N23" i="60" s="1"/>
  <c r="B23" i="60"/>
  <c r="X22" i="60"/>
  <c r="Z22" i="60" s="1"/>
  <c r="N22" i="60"/>
  <c r="L22" i="60"/>
  <c r="F22" i="60"/>
  <c r="B22" i="60"/>
  <c r="Z21" i="60"/>
  <c r="X21" i="60"/>
  <c r="N21" i="60"/>
  <c r="L21" i="60"/>
  <c r="J21" i="60"/>
  <c r="B21" i="60"/>
  <c r="Z20" i="60"/>
  <c r="X20" i="60"/>
  <c r="L20" i="60"/>
  <c r="N20" i="60" s="1"/>
  <c r="F20" i="60"/>
  <c r="B20" i="60"/>
  <c r="X19" i="60"/>
  <c r="T19" i="60"/>
  <c r="Z19" i="60" s="1"/>
  <c r="R19" i="60"/>
  <c r="P19" i="60"/>
  <c r="N19" i="60"/>
  <c r="L19" i="60"/>
  <c r="H19" i="60"/>
  <c r="D19" i="60"/>
  <c r="B19" i="60"/>
  <c r="X18" i="60"/>
  <c r="T18" i="60" a="1"/>
  <c r="T18" i="60"/>
  <c r="Z18" i="60" s="1"/>
  <c r="P18" i="60" a="1"/>
  <c r="P18" i="60"/>
  <c r="J18" i="60"/>
  <c r="H18" i="60" a="1"/>
  <c r="H18" i="60"/>
  <c r="D18" i="60" a="1"/>
  <c r="D18" i="60"/>
  <c r="L18" i="60" s="1"/>
  <c r="R16" i="60"/>
  <c r="H16" i="60"/>
  <c r="T14" i="60"/>
  <c r="Z14" i="60" s="1"/>
  <c r="P14" i="60"/>
  <c r="X14" i="60" s="1"/>
  <c r="N14" i="60"/>
  <c r="H14" i="60"/>
  <c r="D14" i="60"/>
  <c r="L14" i="60" s="1"/>
  <c r="X12" i="60"/>
  <c r="T12" i="60"/>
  <c r="V45" i="60" s="1"/>
  <c r="P12" i="60"/>
  <c r="R53" i="60" s="1"/>
  <c r="H12" i="60"/>
  <c r="J62" i="60" s="1"/>
  <c r="D12" i="60"/>
  <c r="F46" i="60" s="1"/>
  <c r="D6" i="60"/>
  <c r="D4" i="60"/>
  <c r="R71" i="59"/>
  <c r="Z69" i="59"/>
  <c r="X69" i="59"/>
  <c r="N69" i="59"/>
  <c r="L69" i="59"/>
  <c r="T65" i="59"/>
  <c r="Z65" i="59" s="1"/>
  <c r="R65" i="59"/>
  <c r="P65" i="59"/>
  <c r="H65" i="59"/>
  <c r="N65" i="59" s="1"/>
  <c r="D65" i="59"/>
  <c r="L65" i="59" s="1"/>
  <c r="Z63" i="59"/>
  <c r="X63" i="59"/>
  <c r="N63" i="59"/>
  <c r="L63" i="59"/>
  <c r="B63" i="59"/>
  <c r="T62" i="59"/>
  <c r="Z62" i="59" s="1"/>
  <c r="R62" i="59"/>
  <c r="P62" i="59"/>
  <c r="X62" i="59" s="1"/>
  <c r="N62" i="59"/>
  <c r="L62" i="59"/>
  <c r="H62" i="59"/>
  <c r="D62" i="59"/>
  <c r="B62" i="59"/>
  <c r="Z61" i="59"/>
  <c r="X61" i="59"/>
  <c r="V61" i="59"/>
  <c r="N61" i="59"/>
  <c r="L61" i="59"/>
  <c r="F61" i="59"/>
  <c r="B61" i="59"/>
  <c r="Z60" i="59"/>
  <c r="X60" i="59"/>
  <c r="T60" i="59"/>
  <c r="P60" i="59"/>
  <c r="N60" i="59"/>
  <c r="H60" i="59"/>
  <c r="L60" i="59" s="1"/>
  <c r="D60" i="59"/>
  <c r="B60" i="59"/>
  <c r="X59" i="59"/>
  <c r="Z59" i="59" s="1"/>
  <c r="R59" i="59"/>
  <c r="N59" i="59"/>
  <c r="L59" i="59"/>
  <c r="B59" i="59"/>
  <c r="Z58" i="59"/>
  <c r="X58" i="59"/>
  <c r="V58" i="59"/>
  <c r="R58" i="59"/>
  <c r="L58" i="59"/>
  <c r="N58" i="59" s="1"/>
  <c r="B58" i="59"/>
  <c r="X57" i="59"/>
  <c r="V57" i="59"/>
  <c r="T57" i="59"/>
  <c r="Z57" i="59" s="1"/>
  <c r="P57" i="59"/>
  <c r="H57" i="59"/>
  <c r="L57" i="59" s="1"/>
  <c r="D57" i="59"/>
  <c r="B57" i="59"/>
  <c r="Z56" i="59"/>
  <c r="X56" i="59"/>
  <c r="V56" i="59"/>
  <c r="N56" i="59"/>
  <c r="L56" i="59"/>
  <c r="B56" i="59"/>
  <c r="X55" i="59"/>
  <c r="T55" i="59"/>
  <c r="R55" i="59"/>
  <c r="P55" i="59"/>
  <c r="H55" i="59"/>
  <c r="D55" i="59"/>
  <c r="B55" i="59"/>
  <c r="X54" i="59"/>
  <c r="Z54" i="59" s="1"/>
  <c r="N54" i="59"/>
  <c r="L54" i="59"/>
  <c r="B54" i="59"/>
  <c r="X53" i="59"/>
  <c r="Z53" i="59" s="1"/>
  <c r="R53" i="59"/>
  <c r="N53" i="59"/>
  <c r="L53" i="59"/>
  <c r="B53" i="59"/>
  <c r="V52" i="59"/>
  <c r="T52" i="59"/>
  <c r="R52" i="59"/>
  <c r="P52" i="59"/>
  <c r="X52" i="59" s="1"/>
  <c r="Z52" i="59" s="1"/>
  <c r="N52" i="59"/>
  <c r="L52" i="59"/>
  <c r="H52" i="59"/>
  <c r="D52" i="59"/>
  <c r="B52" i="59"/>
  <c r="Z51" i="59"/>
  <c r="X51" i="59"/>
  <c r="N51" i="59"/>
  <c r="L51" i="59"/>
  <c r="B51" i="59"/>
  <c r="Z50" i="59"/>
  <c r="X50" i="59"/>
  <c r="N50" i="59"/>
  <c r="L50" i="59"/>
  <c r="B50" i="59"/>
  <c r="Z49" i="59"/>
  <c r="X49" i="59"/>
  <c r="R49" i="59"/>
  <c r="N49" i="59"/>
  <c r="L49" i="59"/>
  <c r="B49" i="59"/>
  <c r="X48" i="59"/>
  <c r="Z48" i="59" s="1"/>
  <c r="V48" i="59"/>
  <c r="L48" i="59"/>
  <c r="N48" i="59" s="1"/>
  <c r="B48" i="59"/>
  <c r="X47" i="59"/>
  <c r="T47" i="59"/>
  <c r="R47" i="59"/>
  <c r="P47" i="59"/>
  <c r="H47" i="59"/>
  <c r="D47" i="59"/>
  <c r="B47" i="59"/>
  <c r="X46" i="59"/>
  <c r="Z46" i="59" s="1"/>
  <c r="N46" i="59"/>
  <c r="L46" i="59"/>
  <c r="F46" i="59"/>
  <c r="B46" i="59"/>
  <c r="T45" i="59"/>
  <c r="P45" i="59"/>
  <c r="X45" i="59" s="1"/>
  <c r="H45" i="59"/>
  <c r="D45" i="59"/>
  <c r="L45" i="59" s="1"/>
  <c r="N45" i="59" s="1"/>
  <c r="B45" i="59"/>
  <c r="X44" i="59"/>
  <c r="Z44" i="59" s="1"/>
  <c r="N44" i="59"/>
  <c r="L44" i="59"/>
  <c r="B44" i="59"/>
  <c r="Z43" i="59"/>
  <c r="X43" i="59"/>
  <c r="L43" i="59"/>
  <c r="N43" i="59" s="1"/>
  <c r="F43" i="59"/>
  <c r="B43" i="59"/>
  <c r="Z42" i="59"/>
  <c r="X42" i="59"/>
  <c r="T42" i="59"/>
  <c r="R42" i="59"/>
  <c r="P42" i="59"/>
  <c r="L42" i="59"/>
  <c r="N42" i="59" s="1"/>
  <c r="H42" i="59"/>
  <c r="D42" i="59"/>
  <c r="B42" i="59"/>
  <c r="Z41" i="59"/>
  <c r="X41" i="59"/>
  <c r="V41" i="59"/>
  <c r="N41" i="59"/>
  <c r="L41" i="59"/>
  <c r="B41" i="59"/>
  <c r="Z40" i="59"/>
  <c r="X40" i="59"/>
  <c r="T40" i="59"/>
  <c r="P40" i="59"/>
  <c r="N40" i="59"/>
  <c r="H40" i="59"/>
  <c r="D40" i="59"/>
  <c r="L40" i="59" s="1"/>
  <c r="B40" i="59"/>
  <c r="Z39" i="59"/>
  <c r="X39" i="59"/>
  <c r="R39" i="59"/>
  <c r="N39" i="59"/>
  <c r="L39" i="59"/>
  <c r="B39" i="59"/>
  <c r="Z38" i="59"/>
  <c r="X38" i="59"/>
  <c r="V38" i="59"/>
  <c r="R38" i="59"/>
  <c r="N38" i="59"/>
  <c r="L38" i="59"/>
  <c r="B38" i="59"/>
  <c r="Z37" i="59"/>
  <c r="X37" i="59"/>
  <c r="V37" i="59"/>
  <c r="N37" i="59"/>
  <c r="L37" i="59"/>
  <c r="B37" i="59"/>
  <c r="Z36" i="59"/>
  <c r="X36" i="59"/>
  <c r="N36" i="59"/>
  <c r="L36" i="59"/>
  <c r="J36" i="59"/>
  <c r="B36" i="59"/>
  <c r="Z35" i="59"/>
  <c r="X35" i="59"/>
  <c r="N35" i="59"/>
  <c r="L35" i="59"/>
  <c r="B35" i="59"/>
  <c r="Z34" i="59"/>
  <c r="X34" i="59"/>
  <c r="N34" i="59"/>
  <c r="L34" i="59"/>
  <c r="B34" i="59"/>
  <c r="Z33" i="59"/>
  <c r="X33" i="59"/>
  <c r="R33" i="59"/>
  <c r="L33" i="59"/>
  <c r="N33" i="59" s="1"/>
  <c r="B33" i="59"/>
  <c r="Z32" i="59"/>
  <c r="X32" i="59"/>
  <c r="V32" i="59"/>
  <c r="N32" i="59"/>
  <c r="L32" i="59"/>
  <c r="B32" i="59"/>
  <c r="X31" i="59"/>
  <c r="Z31" i="59" s="1"/>
  <c r="R31" i="59"/>
  <c r="N31" i="59"/>
  <c r="L31" i="59"/>
  <c r="B31" i="59"/>
  <c r="Z30" i="59"/>
  <c r="X30" i="59"/>
  <c r="V30" i="59"/>
  <c r="R30" i="59"/>
  <c r="N30" i="59"/>
  <c r="L30" i="59"/>
  <c r="B30" i="59"/>
  <c r="X29" i="59"/>
  <c r="V29" i="59"/>
  <c r="T29" i="59"/>
  <c r="P29" i="59"/>
  <c r="H29" i="59"/>
  <c r="D29" i="59"/>
  <c r="B29" i="59"/>
  <c r="Z28" i="59"/>
  <c r="X28" i="59"/>
  <c r="V28" i="59"/>
  <c r="L28" i="59"/>
  <c r="N28" i="59" s="1"/>
  <c r="B28" i="59"/>
  <c r="X27" i="59"/>
  <c r="Z27" i="59" s="1"/>
  <c r="R27" i="59"/>
  <c r="N27" i="59"/>
  <c r="L27" i="59"/>
  <c r="B27" i="59"/>
  <c r="Z26" i="59"/>
  <c r="X26" i="59"/>
  <c r="V26" i="59"/>
  <c r="R26" i="59"/>
  <c r="N26" i="59"/>
  <c r="L26" i="59"/>
  <c r="B26" i="59"/>
  <c r="Z25" i="59"/>
  <c r="X25" i="59"/>
  <c r="V25" i="59"/>
  <c r="N25" i="59"/>
  <c r="L25" i="59"/>
  <c r="F25" i="59"/>
  <c r="B25" i="59"/>
  <c r="Z24" i="59"/>
  <c r="X24" i="59"/>
  <c r="N24" i="59"/>
  <c r="L24" i="59"/>
  <c r="B24" i="59"/>
  <c r="Z23" i="59"/>
  <c r="X23" i="59"/>
  <c r="L23" i="59"/>
  <c r="N23" i="59" s="1"/>
  <c r="B23" i="59"/>
  <c r="Z22" i="59"/>
  <c r="X22" i="59"/>
  <c r="N22" i="59"/>
  <c r="L22" i="59"/>
  <c r="J22" i="59"/>
  <c r="F22" i="59"/>
  <c r="B22" i="59"/>
  <c r="X21" i="59"/>
  <c r="Z21" i="59" s="1"/>
  <c r="R21" i="59"/>
  <c r="L21" i="59"/>
  <c r="N21" i="59" s="1"/>
  <c r="B21" i="59"/>
  <c r="Z20" i="59"/>
  <c r="X20" i="59"/>
  <c r="V20" i="59"/>
  <c r="N20" i="59"/>
  <c r="L20" i="59"/>
  <c r="B20" i="59"/>
  <c r="T19" i="59"/>
  <c r="R19" i="59"/>
  <c r="P19" i="59"/>
  <c r="H19" i="59"/>
  <c r="D19" i="59"/>
  <c r="L19" i="59" s="1"/>
  <c r="B19" i="59"/>
  <c r="T18" i="59" a="1"/>
  <c r="T18" i="59"/>
  <c r="P18" i="59" a="1"/>
  <c r="P18" i="59"/>
  <c r="X18" i="59" s="1"/>
  <c r="H18" i="59" a="1"/>
  <c r="H18" i="59"/>
  <c r="D18" i="59" a="1"/>
  <c r="D18" i="59" s="1"/>
  <c r="L18" i="59" s="1"/>
  <c r="R16" i="59"/>
  <c r="Z14" i="59"/>
  <c r="V14" i="59"/>
  <c r="T14" i="59"/>
  <c r="T16" i="59" s="1"/>
  <c r="P14" i="59"/>
  <c r="X14" i="59" s="1"/>
  <c r="N14" i="59"/>
  <c r="H14" i="59"/>
  <c r="F14" i="59"/>
  <c r="D14" i="59"/>
  <c r="L14" i="59" s="1"/>
  <c r="T12" i="59"/>
  <c r="V60" i="59" s="1"/>
  <c r="P12" i="59"/>
  <c r="R61" i="59" s="1"/>
  <c r="N12" i="59"/>
  <c r="H12" i="59"/>
  <c r="J24" i="59" s="1"/>
  <c r="D12" i="59"/>
  <c r="F35" i="59" s="1"/>
  <c r="D6" i="59"/>
  <c r="D4" i="59"/>
  <c r="Z79" i="58"/>
  <c r="X79" i="58"/>
  <c r="N79" i="58"/>
  <c r="L79" i="58"/>
  <c r="Z75" i="58"/>
  <c r="X75" i="58"/>
  <c r="T75" i="58"/>
  <c r="P75" i="58"/>
  <c r="H75" i="58"/>
  <c r="N75" i="58" s="1"/>
  <c r="D75" i="58"/>
  <c r="X73" i="58"/>
  <c r="Z73" i="58" s="1"/>
  <c r="N73" i="58"/>
  <c r="L73" i="58"/>
  <c r="B73" i="58"/>
  <c r="T72" i="58"/>
  <c r="P72" i="58"/>
  <c r="H72" i="58"/>
  <c r="N72" i="58" s="1"/>
  <c r="D72" i="58"/>
  <c r="B72" i="58"/>
  <c r="X71" i="58"/>
  <c r="Z71" i="58" s="1"/>
  <c r="N71" i="58"/>
  <c r="L71" i="58"/>
  <c r="F71" i="58"/>
  <c r="B71" i="58"/>
  <c r="T70" i="58"/>
  <c r="P70" i="58"/>
  <c r="H70" i="58"/>
  <c r="D70" i="58"/>
  <c r="L70" i="58" s="1"/>
  <c r="N70" i="58" s="1"/>
  <c r="B70" i="58"/>
  <c r="Z69" i="58"/>
  <c r="X69" i="58"/>
  <c r="L69" i="58"/>
  <c r="N69" i="58" s="1"/>
  <c r="B69" i="58"/>
  <c r="Z68" i="58"/>
  <c r="T68" i="58"/>
  <c r="P68" i="58"/>
  <c r="X68" i="58" s="1"/>
  <c r="L68" i="58"/>
  <c r="H68" i="58"/>
  <c r="D68" i="58"/>
  <c r="B68" i="58"/>
  <c r="Z67" i="58"/>
  <c r="X67" i="58"/>
  <c r="N67" i="58"/>
  <c r="L67" i="58"/>
  <c r="B67" i="58"/>
  <c r="X66" i="58"/>
  <c r="Z66" i="58" s="1"/>
  <c r="L66" i="58"/>
  <c r="N66" i="58" s="1"/>
  <c r="B66" i="58"/>
  <c r="Z65" i="58"/>
  <c r="X65" i="58"/>
  <c r="L65" i="58"/>
  <c r="N65" i="58" s="1"/>
  <c r="B65" i="58"/>
  <c r="Z64" i="58"/>
  <c r="X64" i="58"/>
  <c r="N64" i="58"/>
  <c r="L64" i="58"/>
  <c r="B64" i="58"/>
  <c r="T63" i="58"/>
  <c r="P63" i="58"/>
  <c r="X63" i="58" s="1"/>
  <c r="L63" i="58"/>
  <c r="N63" i="58" s="1"/>
  <c r="H63" i="58"/>
  <c r="D63" i="58"/>
  <c r="B63" i="58"/>
  <c r="Z62" i="58"/>
  <c r="X62" i="58"/>
  <c r="N62" i="58"/>
  <c r="L62" i="58"/>
  <c r="B62" i="58"/>
  <c r="Z61" i="58"/>
  <c r="X61" i="58"/>
  <c r="N61" i="58"/>
  <c r="L61" i="58"/>
  <c r="B61" i="58"/>
  <c r="Z60" i="58"/>
  <c r="T60" i="58"/>
  <c r="P60" i="58"/>
  <c r="X60" i="58" s="1"/>
  <c r="N60" i="58"/>
  <c r="L60" i="58"/>
  <c r="H60" i="58"/>
  <c r="D60" i="58"/>
  <c r="B60" i="58"/>
  <c r="Z59" i="58"/>
  <c r="X59" i="58"/>
  <c r="N59" i="58"/>
  <c r="L59" i="58"/>
  <c r="B59" i="58"/>
  <c r="X58" i="58"/>
  <c r="Z58" i="58" s="1"/>
  <c r="L58" i="58"/>
  <c r="N58" i="58" s="1"/>
  <c r="B58" i="58"/>
  <c r="Z57" i="58"/>
  <c r="X57" i="58"/>
  <c r="T57" i="58"/>
  <c r="P57" i="58"/>
  <c r="N57" i="58"/>
  <c r="H57" i="58"/>
  <c r="L57" i="58" s="1"/>
  <c r="D57" i="58"/>
  <c r="B57" i="58"/>
  <c r="X56" i="58"/>
  <c r="Z56" i="58" s="1"/>
  <c r="R56" i="58"/>
  <c r="N56" i="58"/>
  <c r="L56" i="58"/>
  <c r="B56" i="58"/>
  <c r="Z55" i="58"/>
  <c r="X55" i="58"/>
  <c r="V55" i="58"/>
  <c r="L55" i="58"/>
  <c r="N55" i="58" s="1"/>
  <c r="B55" i="58"/>
  <c r="Z54" i="58"/>
  <c r="X54" i="58"/>
  <c r="N54" i="58"/>
  <c r="L54" i="58"/>
  <c r="B54" i="58"/>
  <c r="Z53" i="58"/>
  <c r="X53" i="58"/>
  <c r="T53" i="58"/>
  <c r="P53" i="58"/>
  <c r="N53" i="58"/>
  <c r="H53" i="58"/>
  <c r="L53" i="58" s="1"/>
  <c r="D53" i="58"/>
  <c r="B53" i="58"/>
  <c r="X52" i="58"/>
  <c r="Z52" i="58" s="1"/>
  <c r="N52" i="58"/>
  <c r="L52" i="58"/>
  <c r="B52" i="58"/>
  <c r="V51" i="58"/>
  <c r="T51" i="58"/>
  <c r="X51" i="58" s="1"/>
  <c r="P51" i="58"/>
  <c r="H51" i="58"/>
  <c r="D51" i="58"/>
  <c r="L51" i="58" s="1"/>
  <c r="B51" i="58"/>
  <c r="Z50" i="58"/>
  <c r="X50" i="58"/>
  <c r="N50" i="58"/>
  <c r="L50" i="58"/>
  <c r="B50" i="58"/>
  <c r="T49" i="58"/>
  <c r="Z49" i="58" s="1"/>
  <c r="P49" i="58"/>
  <c r="X49" i="58" s="1"/>
  <c r="H49" i="58"/>
  <c r="N49" i="58" s="1"/>
  <c r="D49" i="58"/>
  <c r="L49" i="58" s="1"/>
  <c r="B49" i="58"/>
  <c r="Z48" i="58"/>
  <c r="X48" i="58"/>
  <c r="L48" i="58"/>
  <c r="N48" i="58" s="1"/>
  <c r="B48" i="58"/>
  <c r="T47" i="58"/>
  <c r="P47" i="58"/>
  <c r="X47" i="58" s="1"/>
  <c r="L47" i="58"/>
  <c r="N47" i="58" s="1"/>
  <c r="H47" i="58"/>
  <c r="D47" i="58"/>
  <c r="B47" i="58"/>
  <c r="X46" i="58"/>
  <c r="Z46" i="58" s="1"/>
  <c r="N46" i="58"/>
  <c r="L46" i="58"/>
  <c r="F46" i="58"/>
  <c r="B46" i="58"/>
  <c r="Z45" i="58"/>
  <c r="X45" i="58"/>
  <c r="T45" i="58"/>
  <c r="P45" i="58"/>
  <c r="H45" i="58"/>
  <c r="D45" i="58"/>
  <c r="B45" i="58"/>
  <c r="X44" i="58"/>
  <c r="Z44" i="58" s="1"/>
  <c r="N44" i="58"/>
  <c r="L44" i="58"/>
  <c r="B44" i="58"/>
  <c r="T43" i="58"/>
  <c r="P43" i="58"/>
  <c r="H43" i="58"/>
  <c r="N43" i="58" s="1"/>
  <c r="F43" i="58"/>
  <c r="D43" i="58"/>
  <c r="L43" i="58" s="1"/>
  <c r="B43" i="58"/>
  <c r="Z42" i="58"/>
  <c r="X42" i="58"/>
  <c r="L42" i="58"/>
  <c r="N42" i="58" s="1"/>
  <c r="B42" i="58"/>
  <c r="T41" i="58"/>
  <c r="Z41" i="58" s="1"/>
  <c r="P41" i="58"/>
  <c r="X41" i="58" s="1"/>
  <c r="H41" i="58"/>
  <c r="D41" i="58"/>
  <c r="B41" i="58"/>
  <c r="Z40" i="58"/>
  <c r="X40" i="58"/>
  <c r="N40" i="58"/>
  <c r="L40" i="58"/>
  <c r="B40" i="58"/>
  <c r="Z39" i="58"/>
  <c r="X39" i="58"/>
  <c r="N39" i="58"/>
  <c r="L39" i="58"/>
  <c r="B39" i="58"/>
  <c r="Z38" i="58"/>
  <c r="X38" i="58"/>
  <c r="R38" i="58"/>
  <c r="N38" i="58"/>
  <c r="L38" i="58"/>
  <c r="B38" i="58"/>
  <c r="Z37" i="58"/>
  <c r="X37" i="58"/>
  <c r="R37" i="58"/>
  <c r="N37" i="58"/>
  <c r="L37" i="58"/>
  <c r="B37" i="58"/>
  <c r="Z36" i="58"/>
  <c r="X36" i="58"/>
  <c r="V36" i="58"/>
  <c r="N36" i="58"/>
  <c r="L36" i="58"/>
  <c r="B36" i="58"/>
  <c r="X35" i="58"/>
  <c r="Z35" i="58" s="1"/>
  <c r="N35" i="58"/>
  <c r="L35" i="58"/>
  <c r="F35" i="58"/>
  <c r="B35" i="58"/>
  <c r="Z34" i="58"/>
  <c r="X34" i="58"/>
  <c r="L34" i="58"/>
  <c r="N34" i="58" s="1"/>
  <c r="B34" i="58"/>
  <c r="Z33" i="58"/>
  <c r="X33" i="58"/>
  <c r="N33" i="58"/>
  <c r="L33" i="58"/>
  <c r="F33" i="58"/>
  <c r="B33" i="58"/>
  <c r="Z32" i="58"/>
  <c r="X32" i="58"/>
  <c r="N32" i="58"/>
  <c r="L32" i="58"/>
  <c r="F32" i="58"/>
  <c r="B32" i="58"/>
  <c r="Z31" i="58"/>
  <c r="X31" i="58"/>
  <c r="R31" i="58"/>
  <c r="L31" i="58"/>
  <c r="N31" i="58" s="1"/>
  <c r="B31" i="58"/>
  <c r="V30" i="58"/>
  <c r="T30" i="58"/>
  <c r="R30" i="58"/>
  <c r="P30" i="58"/>
  <c r="X30" i="58" s="1"/>
  <c r="H30" i="58"/>
  <c r="L30" i="58" s="1"/>
  <c r="N30" i="58" s="1"/>
  <c r="F30" i="58"/>
  <c r="D30" i="58"/>
  <c r="B30" i="58"/>
  <c r="Z29" i="58"/>
  <c r="X29" i="58"/>
  <c r="L29" i="58"/>
  <c r="N29" i="58" s="1"/>
  <c r="F29" i="58"/>
  <c r="B29" i="58"/>
  <c r="Z28" i="58"/>
  <c r="X28" i="58"/>
  <c r="N28" i="58"/>
  <c r="L28" i="58"/>
  <c r="F28" i="58"/>
  <c r="B28" i="58"/>
  <c r="Z27" i="58"/>
  <c r="X27" i="58"/>
  <c r="R27" i="58"/>
  <c r="L27" i="58"/>
  <c r="N27" i="58" s="1"/>
  <c r="B27" i="58"/>
  <c r="Z26" i="58"/>
  <c r="X26" i="58"/>
  <c r="V26" i="58"/>
  <c r="N26" i="58"/>
  <c r="L26" i="58"/>
  <c r="B26" i="58"/>
  <c r="X25" i="58"/>
  <c r="Z25" i="58" s="1"/>
  <c r="R25" i="58"/>
  <c r="N25" i="58"/>
  <c r="L25" i="58"/>
  <c r="B25" i="58"/>
  <c r="Z24" i="58"/>
  <c r="X24" i="58"/>
  <c r="V24" i="58"/>
  <c r="N24" i="58"/>
  <c r="L24" i="58"/>
  <c r="B24" i="58"/>
  <c r="X23" i="58"/>
  <c r="Z23" i="58" s="1"/>
  <c r="V23" i="58"/>
  <c r="N23" i="58"/>
  <c r="L23" i="58"/>
  <c r="F23" i="58"/>
  <c r="B23" i="58"/>
  <c r="Z22" i="58"/>
  <c r="X22" i="58"/>
  <c r="L22" i="58"/>
  <c r="N22" i="58" s="1"/>
  <c r="B22" i="58"/>
  <c r="Z21" i="58"/>
  <c r="X21" i="58"/>
  <c r="L21" i="58"/>
  <c r="N21" i="58" s="1"/>
  <c r="F21" i="58"/>
  <c r="B21" i="58"/>
  <c r="Z20" i="58"/>
  <c r="X20" i="58"/>
  <c r="N20" i="58"/>
  <c r="L20" i="58"/>
  <c r="F20" i="58"/>
  <c r="B20" i="58"/>
  <c r="T19" i="58"/>
  <c r="P19" i="58"/>
  <c r="X19" i="58" s="1"/>
  <c r="H19" i="58"/>
  <c r="D19" i="58"/>
  <c r="L19" i="58" s="1"/>
  <c r="N19" i="58" s="1"/>
  <c r="B19" i="58"/>
  <c r="T18" i="58" a="1"/>
  <c r="T18" i="58" s="1"/>
  <c r="P18" i="58" a="1"/>
  <c r="P18" i="58" s="1"/>
  <c r="X18" i="58" s="1"/>
  <c r="H18" i="58" a="1"/>
  <c r="H18" i="58" s="1"/>
  <c r="D18" i="58" a="1"/>
  <c r="D18" i="58" s="1"/>
  <c r="Z16" i="58"/>
  <c r="T16" i="58"/>
  <c r="F16" i="58"/>
  <c r="D16" i="58"/>
  <c r="V14" i="58"/>
  <c r="T14" i="58"/>
  <c r="Z14" i="58" s="1"/>
  <c r="R14" i="58"/>
  <c r="P14" i="58"/>
  <c r="X14" i="58" s="1"/>
  <c r="N14" i="58"/>
  <c r="L14" i="58"/>
  <c r="H14" i="58"/>
  <c r="F14" i="58"/>
  <c r="D14" i="58"/>
  <c r="Z12" i="58"/>
  <c r="X12" i="58"/>
  <c r="T12" i="58"/>
  <c r="V33" i="58" s="1"/>
  <c r="P12" i="58"/>
  <c r="R44" i="58" s="1"/>
  <c r="H12" i="58"/>
  <c r="J34" i="58" s="1"/>
  <c r="D12" i="58"/>
  <c r="D6" i="58"/>
  <c r="D4" i="58"/>
  <c r="R74" i="57"/>
  <c r="J71" i="57"/>
  <c r="Z69" i="57"/>
  <c r="X69" i="57"/>
  <c r="N69" i="57"/>
  <c r="L69" i="57"/>
  <c r="Z65" i="57"/>
  <c r="T65" i="57"/>
  <c r="P65" i="57"/>
  <c r="X65" i="57" s="1"/>
  <c r="J65" i="57"/>
  <c r="H65" i="57"/>
  <c r="N65" i="57" s="1"/>
  <c r="D65" i="57"/>
  <c r="L65" i="57" s="1"/>
  <c r="Z63" i="57"/>
  <c r="X63" i="57"/>
  <c r="N63" i="57"/>
  <c r="L63" i="57"/>
  <c r="B63" i="57"/>
  <c r="T62" i="57"/>
  <c r="Z62" i="57" s="1"/>
  <c r="P62" i="57"/>
  <c r="N62" i="57"/>
  <c r="H62" i="57"/>
  <c r="D62" i="57"/>
  <c r="L62" i="57" s="1"/>
  <c r="B62" i="57"/>
  <c r="Z61" i="57"/>
  <c r="X61" i="57"/>
  <c r="N61" i="57"/>
  <c r="L61" i="57"/>
  <c r="J61" i="57"/>
  <c r="B61" i="57"/>
  <c r="T60" i="57"/>
  <c r="P60" i="57"/>
  <c r="X60" i="57" s="1"/>
  <c r="Z60" i="57" s="1"/>
  <c r="L60" i="57"/>
  <c r="H60" i="57"/>
  <c r="N60" i="57" s="1"/>
  <c r="D60" i="57"/>
  <c r="B60" i="57"/>
  <c r="Z59" i="57"/>
  <c r="X59" i="57"/>
  <c r="L59" i="57"/>
  <c r="N59" i="57" s="1"/>
  <c r="B59" i="57"/>
  <c r="X58" i="57"/>
  <c r="T58" i="57"/>
  <c r="Z58" i="57" s="1"/>
  <c r="P58" i="57"/>
  <c r="L58" i="57"/>
  <c r="H58" i="57"/>
  <c r="N58" i="57" s="1"/>
  <c r="D58" i="57"/>
  <c r="B58" i="57"/>
  <c r="Z57" i="57"/>
  <c r="X57" i="57"/>
  <c r="V57" i="57"/>
  <c r="N57" i="57"/>
  <c r="L57" i="57"/>
  <c r="B57" i="57"/>
  <c r="X56" i="57"/>
  <c r="T56" i="57"/>
  <c r="Z56" i="57" s="1"/>
  <c r="P56" i="57"/>
  <c r="H56" i="57"/>
  <c r="D56" i="57"/>
  <c r="B56" i="57"/>
  <c r="X55" i="57"/>
  <c r="Z55" i="57" s="1"/>
  <c r="N55" i="57"/>
  <c r="L55" i="57"/>
  <c r="B55" i="57"/>
  <c r="T54" i="57"/>
  <c r="P54" i="57"/>
  <c r="H54" i="57"/>
  <c r="D54" i="57"/>
  <c r="L54" i="57" s="1"/>
  <c r="N54" i="57" s="1"/>
  <c r="B54" i="57"/>
  <c r="Z53" i="57"/>
  <c r="X53" i="57"/>
  <c r="N53" i="57"/>
  <c r="L53" i="57"/>
  <c r="J53" i="57"/>
  <c r="B53" i="57"/>
  <c r="Z52" i="57"/>
  <c r="X52" i="57"/>
  <c r="L52" i="57"/>
  <c r="N52" i="57" s="1"/>
  <c r="F52" i="57"/>
  <c r="B52" i="57"/>
  <c r="X51" i="57"/>
  <c r="Z51" i="57" s="1"/>
  <c r="N51" i="57"/>
  <c r="L51" i="57"/>
  <c r="B51" i="57"/>
  <c r="T50" i="57"/>
  <c r="P50" i="57"/>
  <c r="X50" i="57" s="1"/>
  <c r="H50" i="57"/>
  <c r="D50" i="57"/>
  <c r="L50" i="57" s="1"/>
  <c r="N50" i="57" s="1"/>
  <c r="B50" i="57"/>
  <c r="Z49" i="57"/>
  <c r="X49" i="57"/>
  <c r="N49" i="57"/>
  <c r="L49" i="57"/>
  <c r="J49" i="57"/>
  <c r="B49" i="57"/>
  <c r="T48" i="57"/>
  <c r="P48" i="57"/>
  <c r="X48" i="57" s="1"/>
  <c r="Z48" i="57" s="1"/>
  <c r="L48" i="57"/>
  <c r="H48" i="57"/>
  <c r="N48" i="57" s="1"/>
  <c r="D48" i="57"/>
  <c r="B48" i="57"/>
  <c r="Z47" i="57"/>
  <c r="X47" i="57"/>
  <c r="V47" i="57"/>
  <c r="L47" i="57"/>
  <c r="N47" i="57" s="1"/>
  <c r="B47" i="57"/>
  <c r="X46" i="57"/>
  <c r="T46" i="57"/>
  <c r="Z46" i="57" s="1"/>
  <c r="P46" i="57"/>
  <c r="L46" i="57"/>
  <c r="H46" i="57"/>
  <c r="D46" i="57"/>
  <c r="B46" i="57"/>
  <c r="Z45" i="57"/>
  <c r="X45" i="57"/>
  <c r="V45" i="57"/>
  <c r="N45" i="57"/>
  <c r="L45" i="57"/>
  <c r="B45" i="57"/>
  <c r="X44" i="57"/>
  <c r="T44" i="57"/>
  <c r="Z44" i="57" s="1"/>
  <c r="P44" i="57"/>
  <c r="H44" i="57"/>
  <c r="D44" i="57"/>
  <c r="L44" i="57" s="1"/>
  <c r="B44" i="57"/>
  <c r="Z43" i="57"/>
  <c r="X43" i="57"/>
  <c r="N43" i="57"/>
  <c r="L43" i="57"/>
  <c r="B43" i="57"/>
  <c r="T42" i="57"/>
  <c r="Z42" i="57" s="1"/>
  <c r="P42" i="57"/>
  <c r="X42" i="57" s="1"/>
  <c r="N42" i="57"/>
  <c r="H42" i="57"/>
  <c r="D42" i="57"/>
  <c r="L42" i="57" s="1"/>
  <c r="B42" i="57"/>
  <c r="Z41" i="57"/>
  <c r="X41" i="57"/>
  <c r="N41" i="57"/>
  <c r="L41" i="57"/>
  <c r="J41" i="57"/>
  <c r="B41" i="57"/>
  <c r="T40" i="57"/>
  <c r="P40" i="57"/>
  <c r="X40" i="57" s="1"/>
  <c r="Z40" i="57" s="1"/>
  <c r="L40" i="57"/>
  <c r="H40" i="57"/>
  <c r="N40" i="57" s="1"/>
  <c r="D40" i="57"/>
  <c r="B40" i="57"/>
  <c r="Z39" i="57"/>
  <c r="X39" i="57"/>
  <c r="V39" i="57"/>
  <c r="N39" i="57"/>
  <c r="L39" i="57"/>
  <c r="B39" i="57"/>
  <c r="Z38" i="57"/>
  <c r="X38" i="57"/>
  <c r="N38" i="57"/>
  <c r="L38" i="57"/>
  <c r="F38" i="57"/>
  <c r="B38" i="57"/>
  <c r="Z37" i="57"/>
  <c r="X37" i="57"/>
  <c r="N37" i="57"/>
  <c r="L37" i="57"/>
  <c r="J37" i="57"/>
  <c r="B37" i="57"/>
  <c r="Z36" i="57"/>
  <c r="X36" i="57"/>
  <c r="N36" i="57"/>
  <c r="L36" i="57"/>
  <c r="F36" i="57"/>
  <c r="B36" i="57"/>
  <c r="Z35" i="57"/>
  <c r="X35" i="57"/>
  <c r="N35" i="57"/>
  <c r="L35" i="57"/>
  <c r="B35" i="57"/>
  <c r="Z34" i="57"/>
  <c r="X34" i="57"/>
  <c r="N34" i="57"/>
  <c r="L34" i="57"/>
  <c r="B34" i="57"/>
  <c r="Z33" i="57"/>
  <c r="X33" i="57"/>
  <c r="V33" i="57"/>
  <c r="N33" i="57"/>
  <c r="L33" i="57"/>
  <c r="B33" i="57"/>
  <c r="Z32" i="57"/>
  <c r="X32" i="57"/>
  <c r="N32" i="57"/>
  <c r="L32" i="57"/>
  <c r="B32" i="57"/>
  <c r="Z31" i="57"/>
  <c r="X31" i="57"/>
  <c r="V31" i="57"/>
  <c r="N31" i="57"/>
  <c r="L31" i="57"/>
  <c r="B31" i="57"/>
  <c r="X30" i="57"/>
  <c r="Z30" i="57" s="1"/>
  <c r="N30" i="57"/>
  <c r="L30" i="57"/>
  <c r="F30" i="57"/>
  <c r="B30" i="57"/>
  <c r="Z29" i="57"/>
  <c r="X29" i="57"/>
  <c r="T29" i="57"/>
  <c r="P29" i="57"/>
  <c r="N29" i="57"/>
  <c r="J29" i="57"/>
  <c r="H29" i="57"/>
  <c r="D29" i="57"/>
  <c r="L29" i="57" s="1"/>
  <c r="B29" i="57"/>
  <c r="X28" i="57"/>
  <c r="Z28" i="57" s="1"/>
  <c r="N28" i="57"/>
  <c r="L28" i="57"/>
  <c r="B28" i="57"/>
  <c r="Z27" i="57"/>
  <c r="X27" i="57"/>
  <c r="V27" i="57"/>
  <c r="L27" i="57"/>
  <c r="N27" i="57" s="1"/>
  <c r="B27" i="57"/>
  <c r="X26" i="57"/>
  <c r="Z26" i="57" s="1"/>
  <c r="N26" i="57"/>
  <c r="L26" i="57"/>
  <c r="F26" i="57"/>
  <c r="B26" i="57"/>
  <c r="Z25" i="57"/>
  <c r="X25" i="57"/>
  <c r="N25" i="57"/>
  <c r="L25" i="57"/>
  <c r="J25" i="57"/>
  <c r="B25" i="57"/>
  <c r="Z24" i="57"/>
  <c r="X24" i="57"/>
  <c r="L24" i="57"/>
  <c r="N24" i="57" s="1"/>
  <c r="F24" i="57"/>
  <c r="B24" i="57"/>
  <c r="X23" i="57"/>
  <c r="Z23" i="57" s="1"/>
  <c r="N23" i="57"/>
  <c r="L23" i="57"/>
  <c r="J23" i="57"/>
  <c r="F23" i="57"/>
  <c r="B23" i="57"/>
  <c r="Z22" i="57"/>
  <c r="X22" i="57"/>
  <c r="R22" i="57"/>
  <c r="L22" i="57"/>
  <c r="N22" i="57" s="1"/>
  <c r="B22" i="57"/>
  <c r="Z21" i="57"/>
  <c r="X21" i="57"/>
  <c r="V21" i="57"/>
  <c r="N21" i="57"/>
  <c r="L21" i="57"/>
  <c r="B21" i="57"/>
  <c r="X20" i="57"/>
  <c r="Z20" i="57" s="1"/>
  <c r="N20" i="57"/>
  <c r="L20" i="57"/>
  <c r="B20" i="57"/>
  <c r="V19" i="57"/>
  <c r="T19" i="57"/>
  <c r="P19" i="57"/>
  <c r="X19" i="57" s="1"/>
  <c r="Z19" i="57" s="1"/>
  <c r="J19" i="57"/>
  <c r="H19" i="57"/>
  <c r="N19" i="57" s="1"/>
  <c r="F19" i="57"/>
  <c r="D19" i="57"/>
  <c r="L19" i="57" s="1"/>
  <c r="B19" i="57"/>
  <c r="T18" i="57" a="1"/>
  <c r="T18" i="57" s="1"/>
  <c r="P18" i="57" a="1"/>
  <c r="P18" i="57" s="1"/>
  <c r="H18" i="57" a="1"/>
  <c r="H18" i="57" s="1"/>
  <c r="F18" i="57"/>
  <c r="D18" i="57" a="1"/>
  <c r="D18" i="57" s="1"/>
  <c r="T16" i="57"/>
  <c r="D16" i="57"/>
  <c r="X14" i="57"/>
  <c r="V14" i="57"/>
  <c r="T14" i="57"/>
  <c r="Z14" i="57" s="1"/>
  <c r="P14" i="57"/>
  <c r="L14" i="57"/>
  <c r="H14" i="57"/>
  <c r="N14" i="57" s="1"/>
  <c r="F14" i="57"/>
  <c r="D14" i="57"/>
  <c r="Z12" i="57"/>
  <c r="T12" i="57"/>
  <c r="V58" i="57" s="1"/>
  <c r="P12" i="57"/>
  <c r="R67" i="57" s="1"/>
  <c r="L12" i="57"/>
  <c r="H12" i="57"/>
  <c r="J60" i="57" s="1"/>
  <c r="D12" i="57"/>
  <c r="F69" i="57" s="1"/>
  <c r="D6" i="57"/>
  <c r="D4" i="57"/>
  <c r="Z77" i="56"/>
  <c r="X77" i="56"/>
  <c r="N77" i="56"/>
  <c r="L77" i="56"/>
  <c r="Z73" i="56"/>
  <c r="T73" i="56"/>
  <c r="P73" i="56"/>
  <c r="X73" i="56" s="1"/>
  <c r="L73" i="56"/>
  <c r="H73" i="56"/>
  <c r="N73" i="56" s="1"/>
  <c r="D73" i="56"/>
  <c r="X71" i="56"/>
  <c r="Z71" i="56" s="1"/>
  <c r="N71" i="56"/>
  <c r="L71" i="56"/>
  <c r="B71" i="56"/>
  <c r="Z70" i="56"/>
  <c r="T70" i="56"/>
  <c r="P70" i="56"/>
  <c r="X70" i="56" s="1"/>
  <c r="N70" i="56"/>
  <c r="J70" i="56"/>
  <c r="H70" i="56"/>
  <c r="D70" i="56"/>
  <c r="L70" i="56" s="1"/>
  <c r="B70" i="56"/>
  <c r="X69" i="56"/>
  <c r="Z69" i="56" s="1"/>
  <c r="R69" i="56"/>
  <c r="L69" i="56"/>
  <c r="N69" i="56" s="1"/>
  <c r="B69" i="56"/>
  <c r="V68" i="56"/>
  <c r="T68" i="56"/>
  <c r="P68" i="56"/>
  <c r="X68" i="56" s="1"/>
  <c r="Z68" i="56" s="1"/>
  <c r="L68" i="56"/>
  <c r="N68" i="56" s="1"/>
  <c r="H68" i="56"/>
  <c r="F68" i="56"/>
  <c r="D68" i="56"/>
  <c r="B68" i="56"/>
  <c r="Z67" i="56"/>
  <c r="X67" i="56"/>
  <c r="L67" i="56"/>
  <c r="N67" i="56" s="1"/>
  <c r="B67" i="56"/>
  <c r="X66" i="56"/>
  <c r="T66" i="56"/>
  <c r="Z66" i="56" s="1"/>
  <c r="R66" i="56"/>
  <c r="P66" i="56"/>
  <c r="N66" i="56"/>
  <c r="L66" i="56"/>
  <c r="H66" i="56"/>
  <c r="D66" i="56"/>
  <c r="B66" i="56"/>
  <c r="Z65" i="56"/>
  <c r="X65" i="56"/>
  <c r="N65" i="56"/>
  <c r="L65" i="56"/>
  <c r="F65" i="56"/>
  <c r="B65" i="56"/>
  <c r="Z64" i="56"/>
  <c r="X64" i="56"/>
  <c r="L64" i="56"/>
  <c r="N64" i="56" s="1"/>
  <c r="J64" i="56"/>
  <c r="B64" i="56"/>
  <c r="T63" i="56"/>
  <c r="P63" i="56"/>
  <c r="X63" i="56" s="1"/>
  <c r="Z63" i="56" s="1"/>
  <c r="L63" i="56"/>
  <c r="N63" i="56" s="1"/>
  <c r="H63" i="56"/>
  <c r="D63" i="56"/>
  <c r="B63" i="56"/>
  <c r="Z62" i="56"/>
  <c r="X62" i="56"/>
  <c r="N62" i="56"/>
  <c r="L62" i="56"/>
  <c r="B62" i="56"/>
  <c r="X61" i="56"/>
  <c r="Z61" i="56" s="1"/>
  <c r="T61" i="56"/>
  <c r="P61" i="56"/>
  <c r="L61" i="56"/>
  <c r="H61" i="56"/>
  <c r="N61" i="56" s="1"/>
  <c r="D61" i="56"/>
  <c r="B61" i="56"/>
  <c r="Z60" i="56"/>
  <c r="X60" i="56"/>
  <c r="V60" i="56"/>
  <c r="N60" i="56"/>
  <c r="L60" i="56"/>
  <c r="B60" i="56"/>
  <c r="X59" i="56"/>
  <c r="Z59" i="56" s="1"/>
  <c r="N59" i="56"/>
  <c r="L59" i="56"/>
  <c r="B59" i="56"/>
  <c r="Z58" i="56"/>
  <c r="T58" i="56"/>
  <c r="P58" i="56"/>
  <c r="X58" i="56" s="1"/>
  <c r="J58" i="56"/>
  <c r="H58" i="56"/>
  <c r="D58" i="56"/>
  <c r="L58" i="56" s="1"/>
  <c r="N58" i="56" s="1"/>
  <c r="B58" i="56"/>
  <c r="X57" i="56"/>
  <c r="Z57" i="56" s="1"/>
  <c r="R57" i="56"/>
  <c r="N57" i="56"/>
  <c r="L57" i="56"/>
  <c r="B57" i="56"/>
  <c r="Z56" i="56"/>
  <c r="X56" i="56"/>
  <c r="V56" i="56"/>
  <c r="N56" i="56"/>
  <c r="L56" i="56"/>
  <c r="B56" i="56"/>
  <c r="X55" i="56"/>
  <c r="Z55" i="56" s="1"/>
  <c r="N55" i="56"/>
  <c r="L55" i="56"/>
  <c r="B55" i="56"/>
  <c r="T54" i="56"/>
  <c r="P54" i="56"/>
  <c r="X54" i="56" s="1"/>
  <c r="Z54" i="56" s="1"/>
  <c r="N54" i="56"/>
  <c r="J54" i="56"/>
  <c r="H54" i="56"/>
  <c r="D54" i="56"/>
  <c r="L54" i="56" s="1"/>
  <c r="B54" i="56"/>
  <c r="X53" i="56"/>
  <c r="Z53" i="56" s="1"/>
  <c r="R53" i="56"/>
  <c r="L53" i="56"/>
  <c r="N53" i="56" s="1"/>
  <c r="B53" i="56"/>
  <c r="V52" i="56"/>
  <c r="T52" i="56"/>
  <c r="P52" i="56"/>
  <c r="X52" i="56" s="1"/>
  <c r="Z52" i="56" s="1"/>
  <c r="L52" i="56"/>
  <c r="H52" i="56"/>
  <c r="N52" i="56" s="1"/>
  <c r="F52" i="56"/>
  <c r="D52" i="56"/>
  <c r="B52" i="56"/>
  <c r="Z51" i="56"/>
  <c r="X51" i="56"/>
  <c r="L51" i="56"/>
  <c r="N51" i="56" s="1"/>
  <c r="B51" i="56"/>
  <c r="T50" i="56"/>
  <c r="R50" i="56"/>
  <c r="P50" i="56"/>
  <c r="N50" i="56"/>
  <c r="L50" i="56"/>
  <c r="H50" i="56"/>
  <c r="D50" i="56"/>
  <c r="B50" i="56"/>
  <c r="X49" i="56"/>
  <c r="Z49" i="56" s="1"/>
  <c r="N49" i="56"/>
  <c r="L49" i="56"/>
  <c r="F49" i="56"/>
  <c r="B49" i="56"/>
  <c r="Z48" i="56"/>
  <c r="X48" i="56"/>
  <c r="T48" i="56"/>
  <c r="P48" i="56"/>
  <c r="H48" i="56"/>
  <c r="D48" i="56"/>
  <c r="L48" i="56" s="1"/>
  <c r="N48" i="56" s="1"/>
  <c r="B48" i="56"/>
  <c r="X47" i="56"/>
  <c r="Z47" i="56" s="1"/>
  <c r="N47" i="56"/>
  <c r="L47" i="56"/>
  <c r="B47" i="56"/>
  <c r="T46" i="56"/>
  <c r="P46" i="56"/>
  <c r="X46" i="56" s="1"/>
  <c r="Z46" i="56" s="1"/>
  <c r="J46" i="56"/>
  <c r="H46" i="56"/>
  <c r="N46" i="56" s="1"/>
  <c r="D46" i="56"/>
  <c r="L46" i="56" s="1"/>
  <c r="B46" i="56"/>
  <c r="Z45" i="56"/>
  <c r="X45" i="56"/>
  <c r="R45" i="56"/>
  <c r="L45" i="56"/>
  <c r="N45" i="56" s="1"/>
  <c r="B45" i="56"/>
  <c r="V44" i="56"/>
  <c r="T44" i="56"/>
  <c r="P44" i="56"/>
  <c r="X44" i="56" s="1"/>
  <c r="L44" i="56"/>
  <c r="H44" i="56"/>
  <c r="N44" i="56" s="1"/>
  <c r="F44" i="56"/>
  <c r="D44" i="56"/>
  <c r="B44" i="56"/>
  <c r="Z43" i="56"/>
  <c r="X43" i="56"/>
  <c r="L43" i="56"/>
  <c r="N43" i="56" s="1"/>
  <c r="B43" i="56"/>
  <c r="X42" i="56"/>
  <c r="T42" i="56"/>
  <c r="Z42" i="56" s="1"/>
  <c r="R42" i="56"/>
  <c r="P42" i="56"/>
  <c r="N42" i="56"/>
  <c r="L42" i="56"/>
  <c r="H42" i="56"/>
  <c r="D42" i="56"/>
  <c r="B42" i="56"/>
  <c r="X41" i="56"/>
  <c r="Z41" i="56" s="1"/>
  <c r="N41" i="56"/>
  <c r="L41" i="56"/>
  <c r="F41" i="56"/>
  <c r="B41" i="56"/>
  <c r="Z40" i="56"/>
  <c r="X40" i="56"/>
  <c r="T40" i="56"/>
  <c r="P40" i="56"/>
  <c r="N40" i="56"/>
  <c r="H40" i="56"/>
  <c r="L40" i="56" s="1"/>
  <c r="D40" i="56"/>
  <c r="B40" i="56"/>
  <c r="Z39" i="56"/>
  <c r="X39" i="56"/>
  <c r="N39" i="56"/>
  <c r="L39" i="56"/>
  <c r="B39" i="56"/>
  <c r="Z38" i="56"/>
  <c r="X38" i="56"/>
  <c r="V38" i="56"/>
  <c r="N38" i="56"/>
  <c r="L38" i="56"/>
  <c r="B38" i="56"/>
  <c r="Z37" i="56"/>
  <c r="X37" i="56"/>
  <c r="N37" i="56"/>
  <c r="L37" i="56"/>
  <c r="F37" i="56"/>
  <c r="B37" i="56"/>
  <c r="Z36" i="56"/>
  <c r="X36" i="56"/>
  <c r="N36" i="56"/>
  <c r="L36" i="56"/>
  <c r="J36" i="56"/>
  <c r="B36" i="56"/>
  <c r="Z35" i="56"/>
  <c r="X35" i="56"/>
  <c r="N35" i="56"/>
  <c r="L35" i="56"/>
  <c r="B35" i="56"/>
  <c r="Z34" i="56"/>
  <c r="X34" i="56"/>
  <c r="N34" i="56"/>
  <c r="L34" i="56"/>
  <c r="B34" i="56"/>
  <c r="Z33" i="56"/>
  <c r="X33" i="56"/>
  <c r="R33" i="56"/>
  <c r="N33" i="56"/>
  <c r="L33" i="56"/>
  <c r="B33" i="56"/>
  <c r="Z32" i="56"/>
  <c r="X32" i="56"/>
  <c r="V32" i="56"/>
  <c r="N32" i="56"/>
  <c r="L32" i="56"/>
  <c r="B32" i="56"/>
  <c r="X31" i="56"/>
  <c r="Z31" i="56" s="1"/>
  <c r="N31" i="56"/>
  <c r="L31" i="56"/>
  <c r="B31" i="56"/>
  <c r="Z30" i="56"/>
  <c r="X30" i="56"/>
  <c r="V30" i="56"/>
  <c r="L30" i="56"/>
  <c r="N30" i="56" s="1"/>
  <c r="B30" i="56"/>
  <c r="X29" i="56"/>
  <c r="Z29" i="56" s="1"/>
  <c r="T29" i="56"/>
  <c r="P29" i="56"/>
  <c r="L29" i="56"/>
  <c r="H29" i="56"/>
  <c r="D29" i="56"/>
  <c r="B29" i="56"/>
  <c r="X28" i="56"/>
  <c r="Z28" i="56" s="1"/>
  <c r="V28" i="56"/>
  <c r="N28" i="56"/>
  <c r="L28" i="56"/>
  <c r="B28" i="56"/>
  <c r="X27" i="56"/>
  <c r="Z27" i="56" s="1"/>
  <c r="N27" i="56"/>
  <c r="L27" i="56"/>
  <c r="B27" i="56"/>
  <c r="Z26" i="56"/>
  <c r="X26" i="56"/>
  <c r="V26" i="56"/>
  <c r="L26" i="56"/>
  <c r="N26" i="56" s="1"/>
  <c r="B26" i="56"/>
  <c r="Z25" i="56"/>
  <c r="X25" i="56"/>
  <c r="V25" i="56"/>
  <c r="N25" i="56"/>
  <c r="L25" i="56"/>
  <c r="F25" i="56"/>
  <c r="B25" i="56"/>
  <c r="Z24" i="56"/>
  <c r="X24" i="56"/>
  <c r="N24" i="56"/>
  <c r="L24" i="56"/>
  <c r="J24" i="56"/>
  <c r="B24" i="56"/>
  <c r="Z23" i="56"/>
  <c r="X23" i="56"/>
  <c r="L23" i="56"/>
  <c r="N23" i="56" s="1"/>
  <c r="F23" i="56"/>
  <c r="B23" i="56"/>
  <c r="X22" i="56"/>
  <c r="Z22" i="56" s="1"/>
  <c r="N22" i="56"/>
  <c r="L22" i="56"/>
  <c r="B22" i="56"/>
  <c r="X21" i="56"/>
  <c r="Z21" i="56" s="1"/>
  <c r="R21" i="56"/>
  <c r="L21" i="56"/>
  <c r="N21" i="56" s="1"/>
  <c r="B21" i="56"/>
  <c r="Z20" i="56"/>
  <c r="X20" i="56"/>
  <c r="V20" i="56"/>
  <c r="N20" i="56"/>
  <c r="L20" i="56"/>
  <c r="B20" i="56"/>
  <c r="X19" i="56"/>
  <c r="T19" i="56"/>
  <c r="Z19" i="56" s="1"/>
  <c r="P19" i="56"/>
  <c r="H19" i="56"/>
  <c r="D19" i="56"/>
  <c r="L19" i="56" s="1"/>
  <c r="B19" i="56"/>
  <c r="T18" i="56" a="1"/>
  <c r="T18" i="56"/>
  <c r="P18" i="56" a="1"/>
  <c r="P18" i="56" s="1"/>
  <c r="X18" i="56" s="1"/>
  <c r="H18" i="56" a="1"/>
  <c r="H18" i="56"/>
  <c r="D18" i="56" a="1"/>
  <c r="D18" i="56" s="1"/>
  <c r="T16" i="56"/>
  <c r="Z16" i="56" s="1"/>
  <c r="R16" i="56"/>
  <c r="D16" i="56"/>
  <c r="Z14" i="56"/>
  <c r="V14" i="56"/>
  <c r="T14" i="56"/>
  <c r="P14" i="56"/>
  <c r="X14" i="56" s="1"/>
  <c r="L14" i="56"/>
  <c r="J14" i="56"/>
  <c r="H14" i="56"/>
  <c r="N14" i="56" s="1"/>
  <c r="F14" i="56"/>
  <c r="D14" i="56"/>
  <c r="T12" i="56"/>
  <c r="V65" i="56" s="1"/>
  <c r="P12" i="56"/>
  <c r="R82" i="56" s="1"/>
  <c r="N12" i="56"/>
  <c r="H12" i="56"/>
  <c r="J79" i="56" s="1"/>
  <c r="D12" i="56"/>
  <c r="F61" i="56" s="1"/>
  <c r="D6" i="56"/>
  <c r="D4" i="56"/>
  <c r="V38" i="55"/>
  <c r="F38" i="55"/>
  <c r="J35" i="55"/>
  <c r="Z33" i="55"/>
  <c r="X33" i="55"/>
  <c r="V33" i="55"/>
  <c r="N33" i="55"/>
  <c r="L33" i="55"/>
  <c r="V31" i="55"/>
  <c r="F31" i="55"/>
  <c r="Z29" i="55"/>
  <c r="T29" i="55"/>
  <c r="P29" i="55"/>
  <c r="X29" i="55" s="1"/>
  <c r="N29" i="55"/>
  <c r="J29" i="55"/>
  <c r="H29" i="55"/>
  <c r="D29" i="55"/>
  <c r="L29" i="55" s="1"/>
  <c r="X27" i="55"/>
  <c r="Z27" i="55" s="1"/>
  <c r="V27" i="55"/>
  <c r="N27" i="55"/>
  <c r="L27" i="55"/>
  <c r="B27" i="55"/>
  <c r="X26" i="55"/>
  <c r="Z26" i="55" s="1"/>
  <c r="N26" i="55"/>
  <c r="L26" i="55"/>
  <c r="B26" i="55"/>
  <c r="Z25" i="55"/>
  <c r="V25" i="55"/>
  <c r="T25" i="55"/>
  <c r="P25" i="55"/>
  <c r="X25" i="55" s="1"/>
  <c r="L25" i="55"/>
  <c r="J25" i="55"/>
  <c r="H25" i="55"/>
  <c r="N25" i="55" s="1"/>
  <c r="F25" i="55"/>
  <c r="D25" i="55"/>
  <c r="B25" i="55"/>
  <c r="X24" i="55"/>
  <c r="Z24" i="55" s="1"/>
  <c r="R24" i="55"/>
  <c r="L24" i="55"/>
  <c r="N24" i="55" s="1"/>
  <c r="B24" i="55"/>
  <c r="X23" i="55"/>
  <c r="V23" i="55"/>
  <c r="T23" i="55"/>
  <c r="Z23" i="55" s="1"/>
  <c r="P23" i="55"/>
  <c r="H23" i="55"/>
  <c r="F23" i="55"/>
  <c r="D23" i="55"/>
  <c r="L23" i="55" s="1"/>
  <c r="B23" i="55"/>
  <c r="Z22" i="55"/>
  <c r="X22" i="55"/>
  <c r="L22" i="55"/>
  <c r="N22" i="55" s="1"/>
  <c r="F22" i="55"/>
  <c r="B22" i="55"/>
  <c r="T21" i="55"/>
  <c r="R21" i="55"/>
  <c r="P21" i="55"/>
  <c r="X21" i="55" s="1"/>
  <c r="H21" i="55"/>
  <c r="D21" i="55"/>
  <c r="L21" i="55" s="1"/>
  <c r="N21" i="55" s="1"/>
  <c r="B21" i="55"/>
  <c r="X20" i="55"/>
  <c r="Z20" i="55" s="1"/>
  <c r="N20" i="55"/>
  <c r="L20" i="55"/>
  <c r="F20" i="55"/>
  <c r="B20" i="55"/>
  <c r="T19" i="55"/>
  <c r="P19" i="55"/>
  <c r="X19" i="55" s="1"/>
  <c r="Z19" i="55" s="1"/>
  <c r="N19" i="55"/>
  <c r="J19" i="55"/>
  <c r="H19" i="55"/>
  <c r="D19" i="55"/>
  <c r="L19" i="55" s="1"/>
  <c r="B19" i="55"/>
  <c r="T18" i="55" a="1"/>
  <c r="T18" i="55" s="1"/>
  <c r="P18" i="55" a="1"/>
  <c r="P18" i="55" s="1"/>
  <c r="X18" i="55" s="1"/>
  <c r="L18" i="55"/>
  <c r="H18" i="55" a="1"/>
  <c r="H18" i="55" s="1"/>
  <c r="D18" i="55" a="1"/>
  <c r="D18" i="55" s="1"/>
  <c r="T16" i="55"/>
  <c r="Z16" i="55" s="1"/>
  <c r="H16" i="55"/>
  <c r="F16" i="55"/>
  <c r="D16" i="55"/>
  <c r="L16" i="55" s="1"/>
  <c r="Z14" i="55"/>
  <c r="V14" i="55"/>
  <c r="T14" i="55"/>
  <c r="P14" i="55"/>
  <c r="X14" i="55" s="1"/>
  <c r="N14" i="55"/>
  <c r="L14" i="55"/>
  <c r="H14" i="55"/>
  <c r="F14" i="55"/>
  <c r="D14" i="55"/>
  <c r="Z12" i="55"/>
  <c r="X12" i="55"/>
  <c r="T12" i="55"/>
  <c r="V20" i="55" s="1"/>
  <c r="P12" i="55"/>
  <c r="R16" i="55" s="1"/>
  <c r="H12" i="55"/>
  <c r="J24" i="55" s="1"/>
  <c r="D12" i="55"/>
  <c r="F35" i="55" s="1"/>
  <c r="D6" i="55"/>
  <c r="D4" i="55"/>
  <c r="T29" i="54"/>
  <c r="P29" i="54"/>
  <c r="X29" i="54" s="1"/>
  <c r="H29" i="54"/>
  <c r="D29" i="54"/>
  <c r="L29" i="54" s="1"/>
  <c r="N29" i="54" s="1"/>
  <c r="X28" i="54"/>
  <c r="T28" i="54"/>
  <c r="Z28" i="54" s="1"/>
  <c r="P28" i="54"/>
  <c r="L28" i="54"/>
  <c r="H28" i="54"/>
  <c r="N28" i="54" s="1"/>
  <c r="D28" i="54"/>
  <c r="Z24" i="54"/>
  <c r="X24" i="54"/>
  <c r="N24" i="54"/>
  <c r="L24" i="54"/>
  <c r="F24" i="54"/>
  <c r="T20" i="54"/>
  <c r="Z20" i="54" s="1"/>
  <c r="P20" i="54"/>
  <c r="N20" i="54"/>
  <c r="J20" i="54"/>
  <c r="H20" i="54"/>
  <c r="D20" i="54"/>
  <c r="L20" i="54" s="1"/>
  <c r="X18" i="54"/>
  <c r="T18" i="54"/>
  <c r="Z18" i="54" s="1"/>
  <c r="P18" i="54"/>
  <c r="L18" i="54"/>
  <c r="H18" i="54"/>
  <c r="N18" i="54" s="1"/>
  <c r="D18" i="54"/>
  <c r="T16" i="54"/>
  <c r="J16" i="54"/>
  <c r="F16" i="54"/>
  <c r="D16" i="54"/>
  <c r="X14" i="54"/>
  <c r="T14" i="54"/>
  <c r="Z14" i="54" s="1"/>
  <c r="P14" i="54"/>
  <c r="L14" i="54"/>
  <c r="H14" i="54"/>
  <c r="N14" i="54" s="1"/>
  <c r="D14" i="54"/>
  <c r="Z12" i="54"/>
  <c r="T12" i="54"/>
  <c r="V31" i="54" s="1"/>
  <c r="P12" i="54"/>
  <c r="L12" i="54"/>
  <c r="H12" i="54"/>
  <c r="J29" i="54" s="1"/>
  <c r="D12" i="54"/>
  <c r="F31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4" i="53" s="1"/>
  <c r="P12" i="53"/>
  <c r="R21" i="53" s="1"/>
  <c r="H12" i="53"/>
  <c r="J20" i="53" s="1"/>
  <c r="D12" i="53"/>
  <c r="F36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P13" i="52"/>
  <c r="H13" i="52"/>
  <c r="N13" i="52" s="1"/>
  <c r="D13" i="52"/>
  <c r="B13" i="52"/>
  <c r="T12" i="52"/>
  <c r="V18" i="52" s="1"/>
  <c r="P12" i="52"/>
  <c r="H12" i="52"/>
  <c r="J22" i="52" s="1"/>
  <c r="D12" i="52"/>
  <c r="F18" i="52" s="1"/>
  <c r="D5" i="52"/>
  <c r="D4" i="52"/>
  <c r="X81" i="51"/>
  <c r="Z81" i="51" s="1"/>
  <c r="N81" i="51"/>
  <c r="L81" i="51"/>
  <c r="Z77" i="51"/>
  <c r="X77" i="51"/>
  <c r="P77" i="51"/>
  <c r="D77" i="51"/>
  <c r="L77" i="51" s="1"/>
  <c r="N77" i="51" s="1"/>
  <c r="B77" i="51"/>
  <c r="Z76" i="51"/>
  <c r="P76" i="51"/>
  <c r="X76" i="51" s="1"/>
  <c r="N76" i="51"/>
  <c r="L76" i="51"/>
  <c r="D76" i="51"/>
  <c r="B76" i="51"/>
  <c r="Z75" i="51"/>
  <c r="P75" i="51"/>
  <c r="P74" i="51" s="1"/>
  <c r="X74" i="51" s="1"/>
  <c r="Z74" i="51" s="1"/>
  <c r="N75" i="51"/>
  <c r="D75" i="51"/>
  <c r="L75" i="51" s="1"/>
  <c r="B75" i="51"/>
  <c r="T74" i="51"/>
  <c r="L74" i="51"/>
  <c r="H74" i="51"/>
  <c r="N74" i="51" s="1"/>
  <c r="D74" i="51"/>
  <c r="Z72" i="51"/>
  <c r="X72" i="51"/>
  <c r="L72" i="51"/>
  <c r="N72" i="51" s="1"/>
  <c r="J72" i="51"/>
  <c r="B72" i="51"/>
  <c r="T71" i="51"/>
  <c r="Z71" i="51" s="1"/>
  <c r="P71" i="51"/>
  <c r="X71" i="51" s="1"/>
  <c r="L71" i="51"/>
  <c r="N71" i="51" s="1"/>
  <c r="H71" i="51"/>
  <c r="D71" i="51"/>
  <c r="B71" i="51"/>
  <c r="Z70" i="51"/>
  <c r="X70" i="51"/>
  <c r="L70" i="51"/>
  <c r="N70" i="51" s="1"/>
  <c r="B70" i="51"/>
  <c r="X69" i="51"/>
  <c r="Z69" i="51" s="1"/>
  <c r="N69" i="51"/>
  <c r="L69" i="51"/>
  <c r="B69" i="51"/>
  <c r="T68" i="51"/>
  <c r="P68" i="51"/>
  <c r="X68" i="51" s="1"/>
  <c r="Z68" i="51" s="1"/>
  <c r="H68" i="51"/>
  <c r="D68" i="51"/>
  <c r="L68" i="51" s="1"/>
  <c r="N68" i="51" s="1"/>
  <c r="B68" i="51"/>
  <c r="X67" i="51"/>
  <c r="Z67" i="51" s="1"/>
  <c r="L67" i="51"/>
  <c r="N67" i="51" s="1"/>
  <c r="B67" i="51"/>
  <c r="Z66" i="51"/>
  <c r="T66" i="51"/>
  <c r="P66" i="51"/>
  <c r="X66" i="51" s="1"/>
  <c r="L66" i="51"/>
  <c r="N66" i="51" s="1"/>
  <c r="J66" i="51"/>
  <c r="H66" i="51"/>
  <c r="D66" i="51"/>
  <c r="B66" i="51"/>
  <c r="Z65" i="51"/>
  <c r="X65" i="51"/>
  <c r="L65" i="51"/>
  <c r="N65" i="51" s="1"/>
  <c r="B65" i="51"/>
  <c r="X64" i="51"/>
  <c r="T64" i="51"/>
  <c r="Z64" i="51" s="1"/>
  <c r="P64" i="51"/>
  <c r="L64" i="51"/>
  <c r="H64" i="51"/>
  <c r="N64" i="51" s="1"/>
  <c r="D64" i="51"/>
  <c r="B64" i="51"/>
  <c r="X63" i="51"/>
  <c r="Z63" i="51" s="1"/>
  <c r="L63" i="51"/>
  <c r="N63" i="51" s="1"/>
  <c r="B63" i="51"/>
  <c r="X62" i="51"/>
  <c r="T62" i="51"/>
  <c r="Z62" i="51" s="1"/>
  <c r="P62" i="51"/>
  <c r="H62" i="51"/>
  <c r="D62" i="51"/>
  <c r="L62" i="51" s="1"/>
  <c r="N62" i="51" s="1"/>
  <c r="B62" i="51"/>
  <c r="X61" i="51"/>
  <c r="Z61" i="51" s="1"/>
  <c r="N61" i="51"/>
  <c r="L61" i="51"/>
  <c r="B61" i="51"/>
  <c r="T60" i="51"/>
  <c r="P60" i="51"/>
  <c r="X60" i="51" s="1"/>
  <c r="Z60" i="51" s="1"/>
  <c r="H60" i="51"/>
  <c r="D60" i="51"/>
  <c r="L60" i="51" s="1"/>
  <c r="N60" i="51" s="1"/>
  <c r="B60" i="51"/>
  <c r="Z59" i="51"/>
  <c r="X59" i="51"/>
  <c r="N59" i="51"/>
  <c r="L59" i="51"/>
  <c r="B59" i="51"/>
  <c r="Z58" i="51"/>
  <c r="T58" i="51"/>
  <c r="P58" i="51"/>
  <c r="X58" i="51" s="1"/>
  <c r="L58" i="51"/>
  <c r="J58" i="51"/>
  <c r="H58" i="51"/>
  <c r="N58" i="51" s="1"/>
  <c r="D58" i="51"/>
  <c r="B58" i="51"/>
  <c r="Z57" i="51"/>
  <c r="X57" i="51"/>
  <c r="L57" i="51"/>
  <c r="N57" i="51" s="1"/>
  <c r="B57" i="51"/>
  <c r="X56" i="51"/>
  <c r="T56" i="51"/>
  <c r="Z56" i="51" s="1"/>
  <c r="P56" i="51"/>
  <c r="L56" i="51"/>
  <c r="H56" i="51"/>
  <c r="N56" i="51" s="1"/>
  <c r="D56" i="51"/>
  <c r="B56" i="51"/>
  <c r="Z55" i="51"/>
  <c r="X55" i="51"/>
  <c r="N55" i="51"/>
  <c r="L55" i="51"/>
  <c r="B55" i="51"/>
  <c r="Z54" i="51"/>
  <c r="X54" i="51"/>
  <c r="N54" i="51"/>
  <c r="L54" i="51"/>
  <c r="B54" i="51"/>
  <c r="Z53" i="51"/>
  <c r="X53" i="51"/>
  <c r="L53" i="51"/>
  <c r="N53" i="51" s="1"/>
  <c r="B53" i="51"/>
  <c r="X52" i="51"/>
  <c r="Z52" i="51" s="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X49" i="51"/>
  <c r="Z49" i="51" s="1"/>
  <c r="N49" i="51"/>
  <c r="L49" i="51"/>
  <c r="B49" i="51"/>
  <c r="Z48" i="51"/>
  <c r="X48" i="51"/>
  <c r="N48" i="51"/>
  <c r="L48" i="51"/>
  <c r="J48" i="51"/>
  <c r="B48" i="51"/>
  <c r="Z47" i="51"/>
  <c r="X47" i="51"/>
  <c r="L47" i="51"/>
  <c r="N47" i="51" s="1"/>
  <c r="B47" i="51"/>
  <c r="Z46" i="51"/>
  <c r="X46" i="51"/>
  <c r="N46" i="51"/>
  <c r="L46" i="51"/>
  <c r="B46" i="51"/>
  <c r="T45" i="51"/>
  <c r="P45" i="51"/>
  <c r="H45" i="51"/>
  <c r="D45" i="51"/>
  <c r="L45" i="51" s="1"/>
  <c r="B45" i="51"/>
  <c r="Z44" i="51"/>
  <c r="X44" i="51"/>
  <c r="L44" i="51"/>
  <c r="N44" i="51" s="1"/>
  <c r="J44" i="51"/>
  <c r="B44" i="51"/>
  <c r="X43" i="51"/>
  <c r="Z43" i="51" s="1"/>
  <c r="L43" i="51"/>
  <c r="N43" i="51" s="1"/>
  <c r="B43" i="51"/>
  <c r="X42" i="51"/>
  <c r="Z42" i="51" s="1"/>
  <c r="N42" i="51"/>
  <c r="L42" i="51"/>
  <c r="B42" i="51"/>
  <c r="Z41" i="51"/>
  <c r="X41" i="51"/>
  <c r="N41" i="51"/>
  <c r="L41" i="51"/>
  <c r="B41" i="51"/>
  <c r="Z40" i="51"/>
  <c r="X40" i="51"/>
  <c r="N40" i="51"/>
  <c r="L40" i="51"/>
  <c r="B40" i="51"/>
  <c r="X39" i="51"/>
  <c r="Z39" i="51" s="1"/>
  <c r="L39" i="51"/>
  <c r="N39" i="51" s="1"/>
  <c r="B39" i="51"/>
  <c r="Z38" i="51"/>
  <c r="X38" i="51"/>
  <c r="L38" i="51"/>
  <c r="N38" i="51" s="1"/>
  <c r="B38" i="51"/>
  <c r="X37" i="51"/>
  <c r="Z37" i="51" s="1"/>
  <c r="N37" i="51"/>
  <c r="L37" i="51"/>
  <c r="B37" i="51"/>
  <c r="Z36" i="51"/>
  <c r="X36" i="51"/>
  <c r="L36" i="51"/>
  <c r="N36" i="51" s="1"/>
  <c r="J36" i="51"/>
  <c r="B36" i="51"/>
  <c r="X35" i="51"/>
  <c r="Z35" i="51" s="1"/>
  <c r="L35" i="51"/>
  <c r="N35" i="51" s="1"/>
  <c r="B35" i="51"/>
  <c r="T34" i="51"/>
  <c r="P34" i="51"/>
  <c r="X34" i="51" s="1"/>
  <c r="H34" i="51"/>
  <c r="D34" i="51"/>
  <c r="L34" i="51" s="1"/>
  <c r="N34" i="51" s="1"/>
  <c r="B34" i="51"/>
  <c r="T33" i="51" a="1"/>
  <c r="T33" i="51" s="1"/>
  <c r="P33" i="51" a="1"/>
  <c r="P33" i="51"/>
  <c r="X33" i="51" s="1"/>
  <c r="H33" i="51" a="1"/>
  <c r="H33" i="51" s="1"/>
  <c r="D33" i="51" a="1"/>
  <c r="D33" i="51"/>
  <c r="Z29" i="51"/>
  <c r="X29" i="51"/>
  <c r="N29" i="51"/>
  <c r="L29" i="51"/>
  <c r="B29" i="51"/>
  <c r="Z28" i="51"/>
  <c r="X28" i="51"/>
  <c r="N28" i="51"/>
  <c r="L28" i="51"/>
  <c r="B28" i="51"/>
  <c r="Z27" i="51"/>
  <c r="X27" i="51"/>
  <c r="N27" i="51"/>
  <c r="L27" i="51"/>
  <c r="B27" i="51"/>
  <c r="Z26" i="51"/>
  <c r="X26" i="51"/>
  <c r="N26" i="51"/>
  <c r="L26" i="51"/>
  <c r="B26" i="51"/>
  <c r="Z25" i="51"/>
  <c r="X25" i="51"/>
  <c r="N25" i="51"/>
  <c r="L25" i="51"/>
  <c r="B25" i="51"/>
  <c r="Z24" i="51"/>
  <c r="X24" i="51"/>
  <c r="N24" i="51"/>
  <c r="L24" i="51"/>
  <c r="J24" i="51"/>
  <c r="B24" i="51"/>
  <c r="Z23" i="51"/>
  <c r="X23" i="51"/>
  <c r="N23" i="51"/>
  <c r="L23" i="51"/>
  <c r="B23" i="51"/>
  <c r="Z22" i="51"/>
  <c r="X22" i="51"/>
  <c r="N22" i="51"/>
  <c r="L22" i="51"/>
  <c r="B22" i="51"/>
  <c r="Z21" i="51"/>
  <c r="X21" i="51"/>
  <c r="N21" i="51"/>
  <c r="L21" i="51"/>
  <c r="B21" i="51"/>
  <c r="X20" i="51"/>
  <c r="Z20" i="51" s="1"/>
  <c r="N20" i="51"/>
  <c r="L20" i="51"/>
  <c r="B20" i="51"/>
  <c r="X19" i="51"/>
  <c r="T19" i="51"/>
  <c r="Z19" i="51" s="1"/>
  <c r="P19" i="51"/>
  <c r="H19" i="51"/>
  <c r="D19" i="51"/>
  <c r="Z17" i="51"/>
  <c r="X17" i="51"/>
  <c r="P17" i="51"/>
  <c r="N17" i="51"/>
  <c r="D17" i="51"/>
  <c r="L17" i="51" s="1"/>
  <c r="B17" i="51"/>
  <c r="Z16" i="51"/>
  <c r="P16" i="51"/>
  <c r="X16" i="51" s="1"/>
  <c r="N16" i="51"/>
  <c r="D16" i="51"/>
  <c r="L16" i="51" s="1"/>
  <c r="B16" i="51"/>
  <c r="Z15" i="51"/>
  <c r="X15" i="51"/>
  <c r="P15" i="51"/>
  <c r="N15" i="51"/>
  <c r="D15" i="51"/>
  <c r="L15" i="51" s="1"/>
  <c r="B15" i="51"/>
  <c r="Z14" i="51"/>
  <c r="P14" i="51"/>
  <c r="X14" i="51" s="1"/>
  <c r="L14" i="51"/>
  <c r="N14" i="51" s="1"/>
  <c r="D14" i="51"/>
  <c r="B14" i="51"/>
  <c r="X13" i="51"/>
  <c r="Z13" i="51" s="1"/>
  <c r="P13" i="51"/>
  <c r="D13" i="51"/>
  <c r="L13" i="51" s="1"/>
  <c r="N13" i="51" s="1"/>
  <c r="B13" i="51"/>
  <c r="T12" i="51"/>
  <c r="V74" i="51" s="1"/>
  <c r="H12" i="51"/>
  <c r="J71" i="51" s="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D15" i="50"/>
  <c r="T13" i="50"/>
  <c r="Z13" i="50" s="1"/>
  <c r="P13" i="50"/>
  <c r="H13" i="50"/>
  <c r="N13" i="50" s="1"/>
  <c r="D13" i="50"/>
  <c r="B13" i="50"/>
  <c r="T12" i="50"/>
  <c r="P12" i="50"/>
  <c r="R21" i="50" s="1"/>
  <c r="H12" i="50"/>
  <c r="D12" i="50"/>
  <c r="F36" i="50" s="1"/>
  <c r="D5" i="50"/>
  <c r="D4" i="50"/>
  <c r="B39" i="49"/>
  <c r="B38" i="49"/>
  <c r="T34" i="49"/>
  <c r="Z34" i="49" s="1"/>
  <c r="P34" i="49"/>
  <c r="H34" i="49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P13" i="49"/>
  <c r="H13" i="49"/>
  <c r="N13" i="49" s="1"/>
  <c r="D13" i="49"/>
  <c r="B13" i="49"/>
  <c r="T12" i="49"/>
  <c r="P12" i="49"/>
  <c r="R24" i="49" s="1"/>
  <c r="H12" i="49"/>
  <c r="D12" i="49"/>
  <c r="F18" i="49" s="1"/>
  <c r="D5" i="49"/>
  <c r="D4" i="49"/>
  <c r="X77" i="48"/>
  <c r="Z77" i="48" s="1"/>
  <c r="N77" i="48"/>
  <c r="L77" i="48"/>
  <c r="X73" i="48"/>
  <c r="Z73" i="48" s="1"/>
  <c r="P73" i="48"/>
  <c r="D73" i="48"/>
  <c r="L73" i="48" s="1"/>
  <c r="N73" i="48" s="1"/>
  <c r="B73" i="48"/>
  <c r="T72" i="48"/>
  <c r="P72" i="48"/>
  <c r="X72" i="48" s="1"/>
  <c r="Z72" i="48" s="1"/>
  <c r="J72" i="48"/>
  <c r="H72" i="48"/>
  <c r="Z70" i="48"/>
  <c r="X70" i="48"/>
  <c r="N70" i="48"/>
  <c r="L70" i="48"/>
  <c r="B70" i="48"/>
  <c r="T69" i="48"/>
  <c r="Z69" i="48" s="1"/>
  <c r="P69" i="48"/>
  <c r="X69" i="48" s="1"/>
  <c r="H69" i="48"/>
  <c r="N69" i="48" s="1"/>
  <c r="D69" i="48"/>
  <c r="L69" i="48" s="1"/>
  <c r="B69" i="48"/>
  <c r="Z68" i="48"/>
  <c r="X68" i="48"/>
  <c r="L68" i="48"/>
  <c r="N68" i="48" s="1"/>
  <c r="B68" i="48"/>
  <c r="T67" i="48"/>
  <c r="Z67" i="48" s="1"/>
  <c r="P67" i="48"/>
  <c r="X67" i="48" s="1"/>
  <c r="L67" i="48"/>
  <c r="H67" i="48"/>
  <c r="N67" i="48" s="1"/>
  <c r="D67" i="48"/>
  <c r="B67" i="48"/>
  <c r="Z66" i="48"/>
  <c r="X66" i="48"/>
  <c r="N66" i="48"/>
  <c r="L66" i="48"/>
  <c r="B66" i="48"/>
  <c r="Z65" i="48"/>
  <c r="X65" i="48"/>
  <c r="N65" i="48"/>
  <c r="L65" i="48"/>
  <c r="F65" i="48"/>
  <c r="B65" i="48"/>
  <c r="Z64" i="48"/>
  <c r="X64" i="48"/>
  <c r="L64" i="48"/>
  <c r="N64" i="48" s="1"/>
  <c r="B64" i="48"/>
  <c r="T63" i="48"/>
  <c r="P63" i="48"/>
  <c r="X63" i="48" s="1"/>
  <c r="L63" i="48"/>
  <c r="H63" i="48"/>
  <c r="N63" i="48" s="1"/>
  <c r="D63" i="48"/>
  <c r="B63" i="48"/>
  <c r="Z62" i="48"/>
  <c r="X62" i="48"/>
  <c r="N62" i="48"/>
  <c r="L62" i="48"/>
  <c r="B62" i="48"/>
  <c r="X61" i="48"/>
  <c r="T61" i="48"/>
  <c r="Z61" i="48" s="1"/>
  <c r="P61" i="48"/>
  <c r="L61" i="48"/>
  <c r="H61" i="48"/>
  <c r="D61" i="48"/>
  <c r="B61" i="48"/>
  <c r="Z60" i="48"/>
  <c r="X60" i="48"/>
  <c r="N60" i="48"/>
  <c r="L60" i="48"/>
  <c r="B60" i="48"/>
  <c r="X59" i="48"/>
  <c r="Z59" i="48" s="1"/>
  <c r="L59" i="48"/>
  <c r="N59" i="48" s="1"/>
  <c r="B59" i="48"/>
  <c r="Z58" i="48"/>
  <c r="X58" i="48"/>
  <c r="N58" i="48"/>
  <c r="L58" i="48"/>
  <c r="B58" i="48"/>
  <c r="X57" i="48"/>
  <c r="T57" i="48"/>
  <c r="Z57" i="48" s="1"/>
  <c r="P57" i="48"/>
  <c r="L57" i="48"/>
  <c r="H57" i="48"/>
  <c r="N57" i="48" s="1"/>
  <c r="D57" i="48"/>
  <c r="B57" i="48"/>
  <c r="X56" i="48"/>
  <c r="Z56" i="48" s="1"/>
  <c r="V56" i="48"/>
  <c r="N56" i="48"/>
  <c r="L56" i="48"/>
  <c r="B56" i="48"/>
  <c r="X55" i="48"/>
  <c r="T55" i="48"/>
  <c r="P55" i="48"/>
  <c r="H55" i="48"/>
  <c r="D55" i="48"/>
  <c r="L55" i="48" s="1"/>
  <c r="B55" i="48"/>
  <c r="Z54" i="48"/>
  <c r="X54" i="48"/>
  <c r="N54" i="48"/>
  <c r="L54" i="48"/>
  <c r="B54" i="48"/>
  <c r="T53" i="48"/>
  <c r="P53" i="48"/>
  <c r="X53" i="48" s="1"/>
  <c r="H53" i="48"/>
  <c r="N53" i="48" s="1"/>
  <c r="D53" i="48"/>
  <c r="L53" i="48" s="1"/>
  <c r="B53" i="48"/>
  <c r="Z52" i="48"/>
  <c r="X52" i="48"/>
  <c r="L52" i="48"/>
  <c r="N52" i="48" s="1"/>
  <c r="B52" i="48"/>
  <c r="T51" i="48"/>
  <c r="Z51" i="48" s="1"/>
  <c r="P51" i="48"/>
  <c r="X51" i="48" s="1"/>
  <c r="L51" i="48"/>
  <c r="H51" i="48"/>
  <c r="N51" i="48" s="1"/>
  <c r="D51" i="48"/>
  <c r="B51" i="48"/>
  <c r="Z50" i="48"/>
  <c r="X50" i="48"/>
  <c r="N50" i="48"/>
  <c r="L50" i="48"/>
  <c r="B50" i="48"/>
  <c r="Z49" i="48"/>
  <c r="X49" i="48"/>
  <c r="N49" i="48"/>
  <c r="L49" i="48"/>
  <c r="B49" i="48"/>
  <c r="T48" i="48"/>
  <c r="P48" i="48"/>
  <c r="X48" i="48" s="1"/>
  <c r="Z48" i="48" s="1"/>
  <c r="N48" i="48"/>
  <c r="L48" i="48"/>
  <c r="H48" i="48"/>
  <c r="D48" i="48"/>
  <c r="B48" i="48"/>
  <c r="X47" i="48"/>
  <c r="Z47" i="48" s="1"/>
  <c r="L47" i="48"/>
  <c r="N47" i="48" s="1"/>
  <c r="B47" i="48"/>
  <c r="Z46" i="48"/>
  <c r="X46" i="48"/>
  <c r="T46" i="48"/>
  <c r="P46" i="48"/>
  <c r="L46" i="48"/>
  <c r="N46" i="48" s="1"/>
  <c r="J46" i="48"/>
  <c r="H46" i="48"/>
  <c r="D46" i="48"/>
  <c r="B46" i="48"/>
  <c r="X45" i="48"/>
  <c r="Z45" i="48" s="1"/>
  <c r="R45" i="48"/>
  <c r="L45" i="48"/>
  <c r="N45" i="48" s="1"/>
  <c r="B45" i="48"/>
  <c r="X44" i="48"/>
  <c r="Z44" i="48" s="1"/>
  <c r="V44" i="48"/>
  <c r="T44" i="48"/>
  <c r="P44" i="48"/>
  <c r="H44" i="48"/>
  <c r="D44" i="48"/>
  <c r="L44" i="48" s="1"/>
  <c r="B44" i="48"/>
  <c r="X43" i="48"/>
  <c r="Z43" i="48" s="1"/>
  <c r="L43" i="48"/>
  <c r="N43" i="48" s="1"/>
  <c r="B43" i="48"/>
  <c r="T42" i="48"/>
  <c r="P42" i="48"/>
  <c r="X42" i="48" s="1"/>
  <c r="H42" i="48"/>
  <c r="D42" i="48"/>
  <c r="L42" i="48" s="1"/>
  <c r="N42" i="48" s="1"/>
  <c r="B42" i="48"/>
  <c r="Z41" i="48"/>
  <c r="X41" i="48"/>
  <c r="N41" i="48"/>
  <c r="L41" i="48"/>
  <c r="B41" i="48"/>
  <c r="Z40" i="48"/>
  <c r="X40" i="48"/>
  <c r="N40" i="48"/>
  <c r="L40" i="48"/>
  <c r="B40" i="48"/>
  <c r="X39" i="48"/>
  <c r="Z39" i="48" s="1"/>
  <c r="L39" i="48"/>
  <c r="N39" i="48" s="1"/>
  <c r="B39" i="48"/>
  <c r="Z38" i="48"/>
  <c r="X38" i="48"/>
  <c r="N38" i="48"/>
  <c r="L38" i="48"/>
  <c r="B38" i="48"/>
  <c r="Z37" i="48"/>
  <c r="X37" i="48"/>
  <c r="R37" i="48"/>
  <c r="N37" i="48"/>
  <c r="L37" i="48"/>
  <c r="B37" i="48"/>
  <c r="Z36" i="48"/>
  <c r="X36" i="48"/>
  <c r="V36" i="48"/>
  <c r="N36" i="48"/>
  <c r="L36" i="48"/>
  <c r="B36" i="48"/>
  <c r="X35" i="48"/>
  <c r="Z35" i="48" s="1"/>
  <c r="L35" i="48"/>
  <c r="N35" i="48" s="1"/>
  <c r="B35" i="48"/>
  <c r="Z34" i="48"/>
  <c r="X34" i="48"/>
  <c r="N34" i="48"/>
  <c r="L34" i="48"/>
  <c r="B34" i="48"/>
  <c r="X33" i="48"/>
  <c r="Z33" i="48" s="1"/>
  <c r="N33" i="48"/>
  <c r="L33" i="48"/>
  <c r="B33" i="48"/>
  <c r="Z32" i="48"/>
  <c r="X32" i="48"/>
  <c r="L32" i="48"/>
  <c r="N32" i="48" s="1"/>
  <c r="B32" i="48"/>
  <c r="T31" i="48"/>
  <c r="P31" i="48"/>
  <c r="X31" i="48" s="1"/>
  <c r="L31" i="48"/>
  <c r="N31" i="48" s="1"/>
  <c r="H31" i="48"/>
  <c r="D31" i="48"/>
  <c r="B31" i="48"/>
  <c r="Z30" i="48"/>
  <c r="X30" i="48"/>
  <c r="N30" i="48"/>
  <c r="L30" i="48"/>
  <c r="B30" i="48"/>
  <c r="X29" i="48"/>
  <c r="Z29" i="48" s="1"/>
  <c r="L29" i="48"/>
  <c r="N29" i="48" s="1"/>
  <c r="F29" i="48"/>
  <c r="B29" i="48"/>
  <c r="Z28" i="48"/>
  <c r="X28" i="48"/>
  <c r="L28" i="48"/>
  <c r="N28" i="48" s="1"/>
  <c r="B28" i="48"/>
  <c r="Z27" i="48"/>
  <c r="X27" i="48"/>
  <c r="N27" i="48"/>
  <c r="L27" i="48"/>
  <c r="B27" i="48"/>
  <c r="Z26" i="48"/>
  <c r="X26" i="48"/>
  <c r="N26" i="48"/>
  <c r="L26" i="48"/>
  <c r="B26" i="48"/>
  <c r="X25" i="48"/>
  <c r="Z25" i="48" s="1"/>
  <c r="L25" i="48"/>
  <c r="N25" i="48" s="1"/>
  <c r="B25" i="48"/>
  <c r="X24" i="48"/>
  <c r="Z24" i="48" s="1"/>
  <c r="V24" i="48"/>
  <c r="N24" i="48"/>
  <c r="L24" i="48"/>
  <c r="B24" i="48"/>
  <c r="X23" i="48"/>
  <c r="Z23" i="48" s="1"/>
  <c r="L23" i="48"/>
  <c r="N23" i="48" s="1"/>
  <c r="B23" i="48"/>
  <c r="Z22" i="48"/>
  <c r="X22" i="48"/>
  <c r="V22" i="48"/>
  <c r="N22" i="48"/>
  <c r="L22" i="48"/>
  <c r="B22" i="48"/>
  <c r="X21" i="48"/>
  <c r="Z21" i="48" s="1"/>
  <c r="L21" i="48"/>
  <c r="N21" i="48" s="1"/>
  <c r="B21" i="48"/>
  <c r="Z20" i="48"/>
  <c r="T20" i="48"/>
  <c r="P20" i="48"/>
  <c r="X20" i="48" s="1"/>
  <c r="H20" i="48"/>
  <c r="D20" i="48"/>
  <c r="L20" i="48" s="1"/>
  <c r="N20" i="48" s="1"/>
  <c r="B20" i="48"/>
  <c r="X19" i="48"/>
  <c r="T19" i="48" a="1"/>
  <c r="T19" i="48" s="1"/>
  <c r="P19" i="48" a="1"/>
  <c r="P19" i="48" s="1"/>
  <c r="H19" i="48" a="1"/>
  <c r="H19" i="48" s="1"/>
  <c r="D19" i="48" a="1"/>
  <c r="D19" i="48" s="1"/>
  <c r="L19" i="48" s="1"/>
  <c r="V17" i="48"/>
  <c r="T17" i="48"/>
  <c r="X15" i="48"/>
  <c r="V15" i="48"/>
  <c r="T15" i="48"/>
  <c r="Z15" i="48" s="1"/>
  <c r="P15" i="48"/>
  <c r="J15" i="48"/>
  <c r="H15" i="48"/>
  <c r="N15" i="48" s="1"/>
  <c r="D15" i="48"/>
  <c r="L15" i="48" s="1"/>
  <c r="X13" i="48"/>
  <c r="Z13" i="48" s="1"/>
  <c r="P13" i="48"/>
  <c r="L13" i="48"/>
  <c r="N13" i="48" s="1"/>
  <c r="D13" i="48"/>
  <c r="B13" i="48"/>
  <c r="T12" i="48"/>
  <c r="P12" i="48"/>
  <c r="R73" i="48" s="1"/>
  <c r="H12" i="48"/>
  <c r="J32" i="48" s="1"/>
  <c r="D12" i="48"/>
  <c r="D4" i="48"/>
  <c r="B39" i="47"/>
  <c r="B38" i="47"/>
  <c r="T34" i="47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D20" i="47"/>
  <c r="T16" i="47"/>
  <c r="Z16" i="47" s="1"/>
  <c r="P16" i="47"/>
  <c r="H16" i="47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24" i="47" s="1"/>
  <c r="P12" i="47"/>
  <c r="R29" i="47" s="1"/>
  <c r="H12" i="47"/>
  <c r="J18" i="47" s="1"/>
  <c r="D12" i="47"/>
  <c r="D5" i="47"/>
  <c r="D4" i="47"/>
  <c r="B39" i="46"/>
  <c r="B38" i="46"/>
  <c r="T34" i="46"/>
  <c r="Z34" i="46" s="1"/>
  <c r="P34" i="46"/>
  <c r="H34" i="46"/>
  <c r="N34" i="46" s="1"/>
  <c r="D34" i="46"/>
  <c r="T33" i="46"/>
  <c r="P33" i="46"/>
  <c r="H33" i="46"/>
  <c r="N33" i="46" s="1"/>
  <c r="D33" i="46"/>
  <c r="T29" i="46"/>
  <c r="P29" i="46"/>
  <c r="H29" i="46"/>
  <c r="N29" i="46" s="1"/>
  <c r="D29" i="46"/>
  <c r="T25" i="46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P16" i="46"/>
  <c r="H16" i="46"/>
  <c r="N16" i="46" s="1"/>
  <c r="D16" i="46"/>
  <c r="B16" i="46"/>
  <c r="T15" i="46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34" i="46" s="1"/>
  <c r="P12" i="46"/>
  <c r="H12" i="46"/>
  <c r="J16" i="46" s="1"/>
  <c r="D12" i="46"/>
  <c r="F34" i="46" s="1"/>
  <c r="D5" i="46"/>
  <c r="D4" i="46"/>
  <c r="X102" i="45"/>
  <c r="Z102" i="45" s="1"/>
  <c r="N102" i="45"/>
  <c r="L102" i="45"/>
  <c r="Z98" i="45"/>
  <c r="X98" i="45"/>
  <c r="T98" i="45"/>
  <c r="P98" i="45"/>
  <c r="J98" i="45"/>
  <c r="H98" i="45"/>
  <c r="N98" i="45" s="1"/>
  <c r="D98" i="45"/>
  <c r="L98" i="45" s="1"/>
  <c r="Z96" i="45"/>
  <c r="X96" i="45"/>
  <c r="N96" i="45"/>
  <c r="L96" i="45"/>
  <c r="B96" i="45"/>
  <c r="Z95" i="45"/>
  <c r="X95" i="45"/>
  <c r="N95" i="45"/>
  <c r="L95" i="45"/>
  <c r="B95" i="45"/>
  <c r="V94" i="45"/>
  <c r="T94" i="45"/>
  <c r="Z94" i="45" s="1"/>
  <c r="P94" i="45"/>
  <c r="X94" i="45" s="1"/>
  <c r="H94" i="45"/>
  <c r="N94" i="45" s="1"/>
  <c r="F94" i="45"/>
  <c r="D94" i="45"/>
  <c r="L94" i="45" s="1"/>
  <c r="B94" i="45"/>
  <c r="Z93" i="45"/>
  <c r="X93" i="45"/>
  <c r="L93" i="45"/>
  <c r="N93" i="45" s="1"/>
  <c r="B93" i="45"/>
  <c r="T92" i="45"/>
  <c r="P92" i="45"/>
  <c r="X92" i="45" s="1"/>
  <c r="L92" i="45"/>
  <c r="H92" i="45"/>
  <c r="N92" i="45" s="1"/>
  <c r="D92" i="45"/>
  <c r="B92" i="45"/>
  <c r="Z91" i="45"/>
  <c r="X91" i="45"/>
  <c r="N91" i="45"/>
  <c r="L91" i="45"/>
  <c r="F91" i="45"/>
  <c r="B91" i="45"/>
  <c r="X90" i="45"/>
  <c r="Z90" i="45" s="1"/>
  <c r="L90" i="45"/>
  <c r="N90" i="45" s="1"/>
  <c r="J90" i="45"/>
  <c r="B90" i="45"/>
  <c r="T89" i="45"/>
  <c r="P89" i="45"/>
  <c r="X89" i="45" s="1"/>
  <c r="Z89" i="45" s="1"/>
  <c r="H89" i="45"/>
  <c r="D89" i="45"/>
  <c r="L89" i="45" s="1"/>
  <c r="N89" i="45" s="1"/>
  <c r="B89" i="45"/>
  <c r="Z88" i="45"/>
  <c r="X88" i="45"/>
  <c r="L88" i="45"/>
  <c r="N88" i="45" s="1"/>
  <c r="B88" i="45"/>
  <c r="Z87" i="45"/>
  <c r="X87" i="45"/>
  <c r="N87" i="45"/>
  <c r="L87" i="45"/>
  <c r="F87" i="45"/>
  <c r="B87" i="45"/>
  <c r="X86" i="45"/>
  <c r="Z86" i="45" s="1"/>
  <c r="L86" i="45"/>
  <c r="N86" i="45" s="1"/>
  <c r="J86" i="45"/>
  <c r="B86" i="45"/>
  <c r="Z85" i="45"/>
  <c r="X85" i="45"/>
  <c r="L85" i="45"/>
  <c r="N85" i="45" s="1"/>
  <c r="B85" i="45"/>
  <c r="X84" i="45"/>
  <c r="Z84" i="45" s="1"/>
  <c r="N84" i="45"/>
  <c r="L84" i="45"/>
  <c r="B84" i="45"/>
  <c r="Z83" i="45"/>
  <c r="X83" i="45"/>
  <c r="N83" i="45"/>
  <c r="L83" i="45"/>
  <c r="B83" i="45"/>
  <c r="X82" i="45"/>
  <c r="Z82" i="45" s="1"/>
  <c r="L82" i="45"/>
  <c r="N82" i="45" s="1"/>
  <c r="B82" i="45"/>
  <c r="Z81" i="45"/>
  <c r="X81" i="45"/>
  <c r="N81" i="45"/>
  <c r="L81" i="45"/>
  <c r="B81" i="45"/>
  <c r="Z80" i="45"/>
  <c r="X80" i="45"/>
  <c r="L80" i="45"/>
  <c r="N80" i="45" s="1"/>
  <c r="B80" i="45"/>
  <c r="T79" i="45"/>
  <c r="P79" i="45"/>
  <c r="X79" i="45" s="1"/>
  <c r="Z79" i="45" s="1"/>
  <c r="L79" i="45"/>
  <c r="N79" i="45" s="1"/>
  <c r="H79" i="45"/>
  <c r="D79" i="45"/>
  <c r="B79" i="45"/>
  <c r="X78" i="45"/>
  <c r="Z78" i="45" s="1"/>
  <c r="N78" i="45"/>
  <c r="L78" i="45"/>
  <c r="B78" i="45"/>
  <c r="X77" i="45"/>
  <c r="Z77" i="45" s="1"/>
  <c r="T77" i="45"/>
  <c r="P77" i="45"/>
  <c r="H77" i="45"/>
  <c r="D77" i="45"/>
  <c r="B77" i="45"/>
  <c r="X76" i="45"/>
  <c r="Z76" i="45" s="1"/>
  <c r="N76" i="45"/>
  <c r="L76" i="45"/>
  <c r="B76" i="45"/>
  <c r="X75" i="45"/>
  <c r="Z75" i="45" s="1"/>
  <c r="R75" i="45"/>
  <c r="N75" i="45"/>
  <c r="L75" i="45"/>
  <c r="J75" i="45"/>
  <c r="B75" i="45"/>
  <c r="X74" i="45"/>
  <c r="Z74" i="45" s="1"/>
  <c r="L74" i="45"/>
  <c r="N74" i="45" s="1"/>
  <c r="B74" i="45"/>
  <c r="X73" i="45"/>
  <c r="Z73" i="45" s="1"/>
  <c r="N73" i="45"/>
  <c r="L73" i="45"/>
  <c r="B73" i="45"/>
  <c r="Z72" i="45"/>
  <c r="T72" i="45"/>
  <c r="X72" i="45" s="1"/>
  <c r="P72" i="45"/>
  <c r="J72" i="45"/>
  <c r="H72" i="45"/>
  <c r="N72" i="45" s="1"/>
  <c r="D72" i="45"/>
  <c r="L72" i="45" s="1"/>
  <c r="B72" i="45"/>
  <c r="X71" i="45"/>
  <c r="Z71" i="45" s="1"/>
  <c r="N71" i="45"/>
  <c r="L71" i="45"/>
  <c r="J71" i="45"/>
  <c r="B71" i="45"/>
  <c r="X70" i="45"/>
  <c r="Z70" i="45" s="1"/>
  <c r="L70" i="45"/>
  <c r="N70" i="45" s="1"/>
  <c r="B70" i="45"/>
  <c r="X69" i="45"/>
  <c r="Z69" i="45" s="1"/>
  <c r="N69" i="45"/>
  <c r="L69" i="45"/>
  <c r="B69" i="45"/>
  <c r="Z68" i="45"/>
  <c r="T68" i="45"/>
  <c r="X68" i="45" s="1"/>
  <c r="P68" i="45"/>
  <c r="J68" i="45"/>
  <c r="H68" i="45"/>
  <c r="D68" i="45"/>
  <c r="L68" i="45" s="1"/>
  <c r="B68" i="45"/>
  <c r="Z67" i="45"/>
  <c r="X67" i="45"/>
  <c r="N67" i="45"/>
  <c r="L67" i="45"/>
  <c r="J67" i="45"/>
  <c r="B67" i="45"/>
  <c r="V66" i="45"/>
  <c r="T66" i="45"/>
  <c r="Z66" i="45" s="1"/>
  <c r="P66" i="45"/>
  <c r="X66" i="45" s="1"/>
  <c r="H66" i="45"/>
  <c r="F66" i="45"/>
  <c r="D66" i="45"/>
  <c r="L66" i="45" s="1"/>
  <c r="B66" i="45"/>
  <c r="Z65" i="45"/>
  <c r="X65" i="45"/>
  <c r="L65" i="45"/>
  <c r="N65" i="45" s="1"/>
  <c r="B65" i="45"/>
  <c r="T64" i="45"/>
  <c r="P64" i="45"/>
  <c r="X64" i="45" s="1"/>
  <c r="L64" i="45"/>
  <c r="H64" i="45"/>
  <c r="N64" i="45" s="1"/>
  <c r="D64" i="45"/>
  <c r="B64" i="45"/>
  <c r="Z63" i="45"/>
  <c r="X63" i="45"/>
  <c r="N63" i="45"/>
  <c r="L63" i="45"/>
  <c r="F63" i="45"/>
  <c r="B63" i="45"/>
  <c r="X62" i="45"/>
  <c r="T62" i="45"/>
  <c r="Z62" i="45" s="1"/>
  <c r="P62" i="45"/>
  <c r="N62" i="45"/>
  <c r="H62" i="45"/>
  <c r="L62" i="45" s="1"/>
  <c r="D62" i="45"/>
  <c r="B62" i="45"/>
  <c r="X61" i="45"/>
  <c r="Z61" i="45" s="1"/>
  <c r="N61" i="45"/>
  <c r="L61" i="45"/>
  <c r="J61" i="45"/>
  <c r="B61" i="45"/>
  <c r="T60" i="45"/>
  <c r="P60" i="45"/>
  <c r="X60" i="45" s="1"/>
  <c r="Z60" i="45" s="1"/>
  <c r="J60" i="45"/>
  <c r="H60" i="45"/>
  <c r="N60" i="45" s="1"/>
  <c r="D60" i="45"/>
  <c r="L60" i="45" s="1"/>
  <c r="B60" i="45"/>
  <c r="Z59" i="45"/>
  <c r="X59" i="45"/>
  <c r="N59" i="45"/>
  <c r="L59" i="45"/>
  <c r="J59" i="45"/>
  <c r="B59" i="45"/>
  <c r="T58" i="45"/>
  <c r="Z58" i="45" s="1"/>
  <c r="P58" i="45"/>
  <c r="X58" i="45" s="1"/>
  <c r="L58" i="45"/>
  <c r="H58" i="45"/>
  <c r="N58" i="45" s="1"/>
  <c r="F58" i="45"/>
  <c r="D58" i="45"/>
  <c r="B58" i="45"/>
  <c r="Z57" i="45"/>
  <c r="X57" i="45"/>
  <c r="L57" i="45"/>
  <c r="N57" i="45" s="1"/>
  <c r="B57" i="45"/>
  <c r="X56" i="45"/>
  <c r="T56" i="45"/>
  <c r="Z56" i="45" s="1"/>
  <c r="R56" i="45"/>
  <c r="P56" i="45"/>
  <c r="L56" i="45"/>
  <c r="H56" i="45"/>
  <c r="N56" i="45" s="1"/>
  <c r="D56" i="45"/>
  <c r="B56" i="45"/>
  <c r="Z55" i="45"/>
  <c r="X55" i="45"/>
  <c r="N55" i="45"/>
  <c r="L55" i="45"/>
  <c r="F55" i="45"/>
  <c r="B55" i="45"/>
  <c r="X54" i="45"/>
  <c r="T54" i="45"/>
  <c r="Z54" i="45" s="1"/>
  <c r="P54" i="45"/>
  <c r="H54" i="45"/>
  <c r="D54" i="45"/>
  <c r="L54" i="45" s="1"/>
  <c r="N54" i="45" s="1"/>
  <c r="B54" i="45"/>
  <c r="X53" i="45"/>
  <c r="Z53" i="45" s="1"/>
  <c r="N53" i="45"/>
  <c r="L53" i="45"/>
  <c r="J53" i="45"/>
  <c r="B53" i="45"/>
  <c r="Z52" i="45"/>
  <c r="T52" i="45"/>
  <c r="P52" i="45"/>
  <c r="X52" i="45" s="1"/>
  <c r="J52" i="45"/>
  <c r="H52" i="45"/>
  <c r="D52" i="45"/>
  <c r="L52" i="45" s="1"/>
  <c r="B52" i="45"/>
  <c r="Z51" i="45"/>
  <c r="X51" i="45"/>
  <c r="N51" i="45"/>
  <c r="L51" i="45"/>
  <c r="J51" i="45"/>
  <c r="B51" i="45"/>
  <c r="T50" i="45"/>
  <c r="P50" i="45"/>
  <c r="X50" i="45" s="1"/>
  <c r="L50" i="45"/>
  <c r="H50" i="45"/>
  <c r="N50" i="45" s="1"/>
  <c r="F50" i="45"/>
  <c r="D50" i="45"/>
  <c r="B50" i="45"/>
  <c r="Z49" i="45"/>
  <c r="X49" i="45"/>
  <c r="L49" i="45"/>
  <c r="N49" i="45" s="1"/>
  <c r="B49" i="45"/>
  <c r="X48" i="45"/>
  <c r="T48" i="45"/>
  <c r="Z48" i="45" s="1"/>
  <c r="P48" i="45"/>
  <c r="L48" i="45"/>
  <c r="H48" i="45"/>
  <c r="N48" i="45" s="1"/>
  <c r="D48" i="45"/>
  <c r="B48" i="45"/>
  <c r="Z47" i="45"/>
  <c r="X47" i="45"/>
  <c r="N47" i="45"/>
  <c r="L47" i="45"/>
  <c r="F47" i="45"/>
  <c r="B47" i="45"/>
  <c r="Z46" i="45"/>
  <c r="X46" i="45"/>
  <c r="N46" i="45"/>
  <c r="L46" i="45"/>
  <c r="J46" i="45"/>
  <c r="B46" i="45"/>
  <c r="Z45" i="45"/>
  <c r="X45" i="45"/>
  <c r="L45" i="45"/>
  <c r="N45" i="45" s="1"/>
  <c r="B45" i="45"/>
  <c r="X44" i="45"/>
  <c r="Z44" i="45" s="1"/>
  <c r="N44" i="45"/>
  <c r="L44" i="45"/>
  <c r="B44" i="45"/>
  <c r="Z43" i="45"/>
  <c r="X43" i="45"/>
  <c r="R43" i="45"/>
  <c r="N43" i="45"/>
  <c r="L43" i="45"/>
  <c r="J43" i="45"/>
  <c r="B43" i="45"/>
  <c r="X42" i="45"/>
  <c r="Z42" i="45" s="1"/>
  <c r="L42" i="45"/>
  <c r="N42" i="45" s="1"/>
  <c r="B42" i="45"/>
  <c r="X41" i="45"/>
  <c r="Z41" i="45" s="1"/>
  <c r="N41" i="45"/>
  <c r="L41" i="45"/>
  <c r="J41" i="45"/>
  <c r="B41" i="45"/>
  <c r="Z40" i="45"/>
  <c r="X40" i="45"/>
  <c r="N40" i="45"/>
  <c r="L40" i="45"/>
  <c r="B40" i="45"/>
  <c r="Z39" i="45"/>
  <c r="X39" i="45"/>
  <c r="N39" i="45"/>
  <c r="L39" i="45"/>
  <c r="F39" i="45"/>
  <c r="B39" i="45"/>
  <c r="Z38" i="45"/>
  <c r="X38" i="45"/>
  <c r="N38" i="45"/>
  <c r="L38" i="45"/>
  <c r="J38" i="45"/>
  <c r="B38" i="45"/>
  <c r="T37" i="45"/>
  <c r="P37" i="45"/>
  <c r="X37" i="45" s="1"/>
  <c r="Z37" i="45" s="1"/>
  <c r="J37" i="45"/>
  <c r="H37" i="45"/>
  <c r="D37" i="45"/>
  <c r="L37" i="45" s="1"/>
  <c r="N37" i="45" s="1"/>
  <c r="B37" i="45"/>
  <c r="Z36" i="45"/>
  <c r="X36" i="45"/>
  <c r="L36" i="45"/>
  <c r="N36" i="45" s="1"/>
  <c r="B36" i="45"/>
  <c r="Z35" i="45"/>
  <c r="X35" i="45"/>
  <c r="N35" i="45"/>
  <c r="L35" i="45"/>
  <c r="F35" i="45"/>
  <c r="B35" i="45"/>
  <c r="X34" i="45"/>
  <c r="Z34" i="45" s="1"/>
  <c r="L34" i="45"/>
  <c r="N34" i="45" s="1"/>
  <c r="J34" i="45"/>
  <c r="B34" i="45"/>
  <c r="Z33" i="45"/>
  <c r="X33" i="45"/>
  <c r="N33" i="45"/>
  <c r="L33" i="45"/>
  <c r="B33" i="45"/>
  <c r="Z32" i="45"/>
  <c r="X32" i="45"/>
  <c r="N32" i="45"/>
  <c r="L32" i="45"/>
  <c r="B32" i="45"/>
  <c r="Z31" i="45"/>
  <c r="X31" i="45"/>
  <c r="N31" i="45"/>
  <c r="L31" i="45"/>
  <c r="J31" i="45"/>
  <c r="B31" i="45"/>
  <c r="X30" i="45"/>
  <c r="Z30" i="45" s="1"/>
  <c r="L30" i="45"/>
  <c r="N30" i="45" s="1"/>
  <c r="B30" i="45"/>
  <c r="X29" i="45"/>
  <c r="Z29" i="45" s="1"/>
  <c r="N29" i="45"/>
  <c r="L29" i="45"/>
  <c r="J29" i="45"/>
  <c r="B29" i="45"/>
  <c r="Z28" i="45"/>
  <c r="X28" i="45"/>
  <c r="L28" i="45"/>
  <c r="N28" i="45" s="1"/>
  <c r="B28" i="45"/>
  <c r="Z27" i="45"/>
  <c r="X27" i="45"/>
  <c r="N27" i="45"/>
  <c r="L27" i="45"/>
  <c r="J27" i="45"/>
  <c r="F27" i="45"/>
  <c r="B27" i="45"/>
  <c r="X26" i="45"/>
  <c r="T26" i="45"/>
  <c r="Z26" i="45" s="1"/>
  <c r="P26" i="45"/>
  <c r="H26" i="45"/>
  <c r="D26" i="45"/>
  <c r="L26" i="45" s="1"/>
  <c r="N26" i="45" s="1"/>
  <c r="B26" i="45"/>
  <c r="X25" i="45"/>
  <c r="T25" i="45" a="1"/>
  <c r="T25" i="45"/>
  <c r="Z25" i="45" s="1"/>
  <c r="P25" i="45" a="1"/>
  <c r="P25" i="45" s="1"/>
  <c r="H25" i="45" a="1"/>
  <c r="H25" i="45"/>
  <c r="D25" i="45" a="1"/>
  <c r="D25" i="45" s="1"/>
  <c r="L25" i="45" s="1"/>
  <c r="H23" i="45"/>
  <c r="Z21" i="45"/>
  <c r="X21" i="45"/>
  <c r="N21" i="45"/>
  <c r="L21" i="45"/>
  <c r="J21" i="45"/>
  <c r="B21" i="45"/>
  <c r="Z20" i="45"/>
  <c r="X20" i="45"/>
  <c r="N20" i="45"/>
  <c r="L20" i="45"/>
  <c r="J20" i="45"/>
  <c r="B20" i="45"/>
  <c r="Z19" i="45"/>
  <c r="X19" i="45"/>
  <c r="L19" i="45"/>
  <c r="N19" i="45" s="1"/>
  <c r="J19" i="45"/>
  <c r="B19" i="45"/>
  <c r="T18" i="45"/>
  <c r="P18" i="45"/>
  <c r="X18" i="45" s="1"/>
  <c r="L18" i="45"/>
  <c r="H18" i="45"/>
  <c r="N18" i="45" s="1"/>
  <c r="F18" i="45"/>
  <c r="D18" i="45"/>
  <c r="Z16" i="45"/>
  <c r="X16" i="45"/>
  <c r="P16" i="45"/>
  <c r="N16" i="45"/>
  <c r="D16" i="45"/>
  <c r="L16" i="45" s="1"/>
  <c r="B16" i="45"/>
  <c r="Z15" i="45"/>
  <c r="P15" i="45"/>
  <c r="P12" i="45" s="1"/>
  <c r="R67" i="45" s="1"/>
  <c r="N15" i="45"/>
  <c r="L15" i="45"/>
  <c r="D15" i="45"/>
  <c r="B15" i="45"/>
  <c r="P14" i="45"/>
  <c r="X14" i="45" s="1"/>
  <c r="Z14" i="45" s="1"/>
  <c r="D14" i="45"/>
  <c r="L14" i="45" s="1"/>
  <c r="N14" i="45" s="1"/>
  <c r="B14" i="45"/>
  <c r="Z13" i="45"/>
  <c r="X13" i="45"/>
  <c r="P13" i="45"/>
  <c r="N13" i="45"/>
  <c r="L13" i="45"/>
  <c r="D13" i="45"/>
  <c r="B13" i="45"/>
  <c r="T12" i="45"/>
  <c r="V58" i="45" s="1"/>
  <c r="H12" i="45"/>
  <c r="J95" i="45" s="1"/>
  <c r="D12" i="45"/>
  <c r="F102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P20" i="44"/>
  <c r="H20" i="44"/>
  <c r="D20" i="44"/>
  <c r="T16" i="44"/>
  <c r="P16" i="44"/>
  <c r="H16" i="44"/>
  <c r="D16" i="44"/>
  <c r="B16" i="44"/>
  <c r="T15" i="44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4" i="44" s="1"/>
  <c r="P12" i="44"/>
  <c r="R18" i="44" s="1"/>
  <c r="H12" i="44"/>
  <c r="D12" i="44"/>
  <c r="F36" i="44" s="1"/>
  <c r="D5" i="44"/>
  <c r="D4" i="44"/>
  <c r="B39" i="43"/>
  <c r="B38" i="43"/>
  <c r="T34" i="43"/>
  <c r="Z34" i="43" s="1"/>
  <c r="P34" i="43"/>
  <c r="H34" i="43"/>
  <c r="N34" i="43" s="1"/>
  <c r="D34" i="43"/>
  <c r="T33" i="43"/>
  <c r="P33" i="43"/>
  <c r="H33" i="43"/>
  <c r="N33" i="43" s="1"/>
  <c r="D33" i="43"/>
  <c r="T29" i="43"/>
  <c r="P29" i="43"/>
  <c r="H29" i="43"/>
  <c r="N29" i="43" s="1"/>
  <c r="D29" i="43"/>
  <c r="T25" i="43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P15" i="43"/>
  <c r="H15" i="43"/>
  <c r="N15" i="43" s="1"/>
  <c r="D15" i="43"/>
  <c r="T13" i="43"/>
  <c r="P13" i="43"/>
  <c r="H13" i="43"/>
  <c r="N13" i="43" s="1"/>
  <c r="D13" i="43"/>
  <c r="B13" i="43"/>
  <c r="T12" i="43"/>
  <c r="V36" i="43" s="1"/>
  <c r="P12" i="43"/>
  <c r="R21" i="43" s="1"/>
  <c r="H12" i="43"/>
  <c r="J22" i="43" s="1"/>
  <c r="D12" i="43"/>
  <c r="F36" i="43" s="1"/>
  <c r="D5" i="43"/>
  <c r="D4" i="43"/>
  <c r="Z115" i="42"/>
  <c r="X115" i="42"/>
  <c r="N115" i="42"/>
  <c r="L115" i="42"/>
  <c r="Z111" i="42"/>
  <c r="P111" i="42"/>
  <c r="X111" i="42" s="1"/>
  <c r="N111" i="42"/>
  <c r="L111" i="42"/>
  <c r="D111" i="42"/>
  <c r="B111" i="42"/>
  <c r="Z110" i="42"/>
  <c r="X110" i="42"/>
  <c r="P110" i="42"/>
  <c r="D110" i="42"/>
  <c r="L110" i="42" s="1"/>
  <c r="N110" i="42" s="1"/>
  <c r="B110" i="42"/>
  <c r="P109" i="42"/>
  <c r="X109" i="42" s="1"/>
  <c r="Z109" i="42" s="1"/>
  <c r="N109" i="42"/>
  <c r="L109" i="42"/>
  <c r="D109" i="42"/>
  <c r="B109" i="42"/>
  <c r="X108" i="42"/>
  <c r="Z108" i="42" s="1"/>
  <c r="P108" i="42"/>
  <c r="N108" i="42"/>
  <c r="D108" i="42"/>
  <c r="L108" i="42" s="1"/>
  <c r="B108" i="42"/>
  <c r="T107" i="42"/>
  <c r="H107" i="42"/>
  <c r="Z105" i="42"/>
  <c r="X105" i="42"/>
  <c r="L105" i="42"/>
  <c r="N105" i="42" s="1"/>
  <c r="B105" i="42"/>
  <c r="T104" i="42"/>
  <c r="P104" i="42"/>
  <c r="X104" i="42" s="1"/>
  <c r="L104" i="42"/>
  <c r="H104" i="42"/>
  <c r="N104" i="42" s="1"/>
  <c r="D104" i="42"/>
  <c r="B104" i="42"/>
  <c r="Z103" i="42"/>
  <c r="X103" i="42"/>
  <c r="N103" i="42"/>
  <c r="L103" i="42"/>
  <c r="B103" i="42"/>
  <c r="X102" i="42"/>
  <c r="Z102" i="42" s="1"/>
  <c r="N102" i="42"/>
  <c r="L102" i="42"/>
  <c r="B102" i="42"/>
  <c r="T101" i="42"/>
  <c r="P101" i="42"/>
  <c r="H101" i="42"/>
  <c r="D101" i="42"/>
  <c r="L101" i="42" s="1"/>
  <c r="N101" i="42" s="1"/>
  <c r="B101" i="42"/>
  <c r="X100" i="42"/>
  <c r="Z100" i="42" s="1"/>
  <c r="N100" i="42"/>
  <c r="L100" i="42"/>
  <c r="J100" i="42"/>
  <c r="B100" i="42"/>
  <c r="T99" i="42"/>
  <c r="P99" i="42"/>
  <c r="X99" i="42" s="1"/>
  <c r="Z99" i="42" s="1"/>
  <c r="N99" i="42"/>
  <c r="L99" i="42"/>
  <c r="H99" i="42"/>
  <c r="D99" i="42"/>
  <c r="B99" i="42"/>
  <c r="Z98" i="42"/>
  <c r="X98" i="42"/>
  <c r="L98" i="42"/>
  <c r="N98" i="42" s="1"/>
  <c r="B98" i="42"/>
  <c r="X97" i="42"/>
  <c r="Z97" i="42" s="1"/>
  <c r="N97" i="42"/>
  <c r="L97" i="42"/>
  <c r="B97" i="42"/>
  <c r="T96" i="42"/>
  <c r="X96" i="42" s="1"/>
  <c r="P96" i="42"/>
  <c r="H96" i="42"/>
  <c r="D96" i="42"/>
  <c r="L96" i="42" s="1"/>
  <c r="N96" i="42" s="1"/>
  <c r="B96" i="42"/>
  <c r="X95" i="42"/>
  <c r="Z95" i="42" s="1"/>
  <c r="N95" i="42"/>
  <c r="L95" i="42"/>
  <c r="B95" i="42"/>
  <c r="Z94" i="42"/>
  <c r="X94" i="42"/>
  <c r="N94" i="42"/>
  <c r="L94" i="42"/>
  <c r="B94" i="42"/>
  <c r="X93" i="42"/>
  <c r="Z93" i="42" s="1"/>
  <c r="N93" i="42"/>
  <c r="L93" i="42"/>
  <c r="B93" i="42"/>
  <c r="X92" i="42"/>
  <c r="Z92" i="42" s="1"/>
  <c r="N92" i="42"/>
  <c r="L92" i="42"/>
  <c r="J92" i="42"/>
  <c r="B92" i="42"/>
  <c r="Z91" i="42"/>
  <c r="X91" i="42"/>
  <c r="L91" i="42"/>
  <c r="N91" i="42" s="1"/>
  <c r="B91" i="42"/>
  <c r="X90" i="42"/>
  <c r="Z90" i="42" s="1"/>
  <c r="N90" i="42"/>
  <c r="L90" i="42"/>
  <c r="B90" i="42"/>
  <c r="Z89" i="42"/>
  <c r="X89" i="42"/>
  <c r="N89" i="42"/>
  <c r="L89" i="42"/>
  <c r="B89" i="42"/>
  <c r="Z88" i="42"/>
  <c r="X88" i="42"/>
  <c r="L88" i="42"/>
  <c r="N88" i="42" s="1"/>
  <c r="B88" i="42"/>
  <c r="X87" i="42"/>
  <c r="Z87" i="42" s="1"/>
  <c r="N87" i="42"/>
  <c r="L87" i="42"/>
  <c r="B87" i="42"/>
  <c r="Z86" i="42"/>
  <c r="X86" i="42"/>
  <c r="N86" i="42"/>
  <c r="L86" i="42"/>
  <c r="B86" i="42"/>
  <c r="T85" i="42"/>
  <c r="Z85" i="42" s="1"/>
  <c r="P85" i="42"/>
  <c r="X85" i="42" s="1"/>
  <c r="L85" i="42"/>
  <c r="H85" i="42"/>
  <c r="D85" i="42"/>
  <c r="B85" i="42"/>
  <c r="Z84" i="42"/>
  <c r="X84" i="42"/>
  <c r="L84" i="42"/>
  <c r="N84" i="42" s="1"/>
  <c r="B84" i="42"/>
  <c r="X83" i="42"/>
  <c r="T83" i="42"/>
  <c r="Z83" i="42" s="1"/>
  <c r="P83" i="42"/>
  <c r="H83" i="42"/>
  <c r="D83" i="42"/>
  <c r="B83" i="42"/>
  <c r="X82" i="42"/>
  <c r="Z82" i="42" s="1"/>
  <c r="N82" i="42"/>
  <c r="L82" i="42"/>
  <c r="B82" i="42"/>
  <c r="Z81" i="42"/>
  <c r="X81" i="42"/>
  <c r="R81" i="42"/>
  <c r="L81" i="42"/>
  <c r="N81" i="42" s="1"/>
  <c r="B81" i="42"/>
  <c r="Z80" i="42"/>
  <c r="X80" i="42"/>
  <c r="L80" i="42"/>
  <c r="N80" i="42" s="1"/>
  <c r="B80" i="42"/>
  <c r="X79" i="42"/>
  <c r="Z79" i="42" s="1"/>
  <c r="N79" i="42"/>
  <c r="L79" i="42"/>
  <c r="B79" i="42"/>
  <c r="Z78" i="42"/>
  <c r="X78" i="42"/>
  <c r="L78" i="42"/>
  <c r="N78" i="42" s="1"/>
  <c r="B78" i="42"/>
  <c r="T77" i="42"/>
  <c r="Z77" i="42" s="1"/>
  <c r="P77" i="42"/>
  <c r="X77" i="42" s="1"/>
  <c r="L77" i="42"/>
  <c r="H77" i="42"/>
  <c r="D77" i="42"/>
  <c r="B77" i="42"/>
  <c r="Z76" i="42"/>
  <c r="X76" i="42"/>
  <c r="V76" i="42"/>
  <c r="N76" i="42"/>
  <c r="L76" i="42"/>
  <c r="B76" i="42"/>
  <c r="X75" i="42"/>
  <c r="T75" i="42"/>
  <c r="Z75" i="42" s="1"/>
  <c r="P75" i="42"/>
  <c r="H75" i="42"/>
  <c r="N75" i="42" s="1"/>
  <c r="D75" i="42"/>
  <c r="L75" i="42" s="1"/>
  <c r="B75" i="42"/>
  <c r="X74" i="42"/>
  <c r="Z74" i="42" s="1"/>
  <c r="N74" i="42"/>
  <c r="L74" i="42"/>
  <c r="B74" i="42"/>
  <c r="Z73" i="42"/>
  <c r="X73" i="42"/>
  <c r="R73" i="42"/>
  <c r="N73" i="42"/>
  <c r="L73" i="42"/>
  <c r="B73" i="42"/>
  <c r="Z72" i="42"/>
  <c r="X72" i="42"/>
  <c r="N72" i="42"/>
  <c r="L72" i="42"/>
  <c r="B72" i="42"/>
  <c r="Z71" i="42"/>
  <c r="X71" i="42"/>
  <c r="N71" i="42"/>
  <c r="L71" i="42"/>
  <c r="B71" i="42"/>
  <c r="Z70" i="42"/>
  <c r="T70" i="42"/>
  <c r="P70" i="42"/>
  <c r="X70" i="42" s="1"/>
  <c r="J70" i="42"/>
  <c r="H70" i="42"/>
  <c r="D70" i="42"/>
  <c r="L70" i="42" s="1"/>
  <c r="N70" i="42" s="1"/>
  <c r="B70" i="42"/>
  <c r="Z69" i="42"/>
  <c r="X69" i="42"/>
  <c r="R69" i="42"/>
  <c r="L69" i="42"/>
  <c r="N69" i="42" s="1"/>
  <c r="B69" i="42"/>
  <c r="T68" i="42"/>
  <c r="P68" i="42"/>
  <c r="X68" i="42" s="1"/>
  <c r="Z68" i="42" s="1"/>
  <c r="L68" i="42"/>
  <c r="N68" i="42" s="1"/>
  <c r="H68" i="42"/>
  <c r="D68" i="42"/>
  <c r="B68" i="42"/>
  <c r="Z67" i="42"/>
  <c r="X67" i="42"/>
  <c r="L67" i="42"/>
  <c r="N67" i="42" s="1"/>
  <c r="B67" i="42"/>
  <c r="X66" i="42"/>
  <c r="Z66" i="42" s="1"/>
  <c r="T66" i="42"/>
  <c r="P66" i="42"/>
  <c r="H66" i="42"/>
  <c r="L66" i="42" s="1"/>
  <c r="D66" i="42"/>
  <c r="B66" i="42"/>
  <c r="X65" i="42"/>
  <c r="Z65" i="42" s="1"/>
  <c r="N65" i="42"/>
  <c r="L65" i="42"/>
  <c r="B65" i="42"/>
  <c r="T64" i="42"/>
  <c r="X64" i="42" s="1"/>
  <c r="P64" i="42"/>
  <c r="H64" i="42"/>
  <c r="D64" i="42"/>
  <c r="L64" i="42" s="1"/>
  <c r="N64" i="42" s="1"/>
  <c r="B64" i="42"/>
  <c r="X63" i="42"/>
  <c r="Z63" i="42" s="1"/>
  <c r="N63" i="42"/>
  <c r="L63" i="42"/>
  <c r="J63" i="42"/>
  <c r="B63" i="42"/>
  <c r="Z62" i="42"/>
  <c r="X62" i="42"/>
  <c r="N62" i="42"/>
  <c r="L62" i="42"/>
  <c r="B62" i="42"/>
  <c r="T61" i="42"/>
  <c r="Z61" i="42" s="1"/>
  <c r="P61" i="42"/>
  <c r="X61" i="42" s="1"/>
  <c r="N61" i="42"/>
  <c r="L61" i="42"/>
  <c r="H61" i="42"/>
  <c r="D61" i="42"/>
  <c r="B61" i="42"/>
  <c r="Z60" i="42"/>
  <c r="X60" i="42"/>
  <c r="L60" i="42"/>
  <c r="N60" i="42" s="1"/>
  <c r="B60" i="42"/>
  <c r="X59" i="42"/>
  <c r="Z59" i="42" s="1"/>
  <c r="T59" i="42"/>
  <c r="P59" i="42"/>
  <c r="H59" i="42"/>
  <c r="D59" i="42"/>
  <c r="B59" i="42"/>
  <c r="X58" i="42"/>
  <c r="Z58" i="42" s="1"/>
  <c r="N58" i="42"/>
  <c r="L58" i="42"/>
  <c r="B58" i="42"/>
  <c r="T57" i="42"/>
  <c r="P57" i="42"/>
  <c r="N57" i="42"/>
  <c r="J57" i="42"/>
  <c r="H57" i="42"/>
  <c r="D57" i="42"/>
  <c r="L57" i="42" s="1"/>
  <c r="B57" i="42"/>
  <c r="X56" i="42"/>
  <c r="Z56" i="42" s="1"/>
  <c r="N56" i="42"/>
  <c r="L56" i="42"/>
  <c r="J56" i="42"/>
  <c r="B56" i="42"/>
  <c r="Z55" i="42"/>
  <c r="X55" i="42"/>
  <c r="N55" i="42"/>
  <c r="L55" i="42"/>
  <c r="B55" i="42"/>
  <c r="X54" i="42"/>
  <c r="Z54" i="42" s="1"/>
  <c r="T54" i="42"/>
  <c r="P54" i="42"/>
  <c r="H54" i="42"/>
  <c r="L54" i="42" s="1"/>
  <c r="D54" i="42"/>
  <c r="B54" i="42"/>
  <c r="X53" i="42"/>
  <c r="Z53" i="42" s="1"/>
  <c r="N53" i="42"/>
  <c r="L53" i="42"/>
  <c r="B53" i="42"/>
  <c r="T52" i="42"/>
  <c r="X52" i="42" s="1"/>
  <c r="P52" i="42"/>
  <c r="N52" i="42"/>
  <c r="H52" i="42"/>
  <c r="D52" i="42"/>
  <c r="L52" i="42" s="1"/>
  <c r="B52" i="42"/>
  <c r="X51" i="42"/>
  <c r="Z51" i="42" s="1"/>
  <c r="N51" i="42"/>
  <c r="L51" i="42"/>
  <c r="J51" i="42"/>
  <c r="B51" i="42"/>
  <c r="Z50" i="42"/>
  <c r="T50" i="42"/>
  <c r="P50" i="42"/>
  <c r="X50" i="42" s="1"/>
  <c r="J50" i="42"/>
  <c r="H50" i="42"/>
  <c r="D50" i="42"/>
  <c r="L50" i="42" s="1"/>
  <c r="N50" i="42" s="1"/>
  <c r="B50" i="42"/>
  <c r="Z49" i="42"/>
  <c r="X49" i="42"/>
  <c r="N49" i="42"/>
  <c r="L49" i="42"/>
  <c r="B49" i="42"/>
  <c r="Z48" i="42"/>
  <c r="T48" i="42"/>
  <c r="P48" i="42"/>
  <c r="X48" i="42" s="1"/>
  <c r="N48" i="42"/>
  <c r="L48" i="42"/>
  <c r="H48" i="42"/>
  <c r="D48" i="42"/>
  <c r="B48" i="42"/>
  <c r="Z47" i="42"/>
  <c r="X47" i="42"/>
  <c r="N47" i="42"/>
  <c r="L47" i="42"/>
  <c r="B47" i="42"/>
  <c r="Z46" i="42"/>
  <c r="X46" i="42"/>
  <c r="N46" i="42"/>
  <c r="L46" i="42"/>
  <c r="B46" i="42"/>
  <c r="Z45" i="42"/>
  <c r="X45" i="42"/>
  <c r="L45" i="42"/>
  <c r="N45" i="42" s="1"/>
  <c r="B45" i="42"/>
  <c r="Z44" i="42"/>
  <c r="X44" i="42"/>
  <c r="L44" i="42"/>
  <c r="N44" i="42" s="1"/>
  <c r="B44" i="42"/>
  <c r="Z43" i="42"/>
  <c r="X43" i="42"/>
  <c r="N43" i="42"/>
  <c r="L43" i="42"/>
  <c r="J43" i="42"/>
  <c r="B43" i="42"/>
  <c r="Z42" i="42"/>
  <c r="X42" i="42"/>
  <c r="L42" i="42"/>
  <c r="N42" i="42" s="1"/>
  <c r="B42" i="42"/>
  <c r="X41" i="42"/>
  <c r="Z41" i="42" s="1"/>
  <c r="N41" i="42"/>
  <c r="L41" i="42"/>
  <c r="B41" i="42"/>
  <c r="Z40" i="42"/>
  <c r="X40" i="42"/>
  <c r="N40" i="42"/>
  <c r="L40" i="42"/>
  <c r="J40" i="42"/>
  <c r="B40" i="42"/>
  <c r="Z39" i="42"/>
  <c r="X39" i="42"/>
  <c r="L39" i="42"/>
  <c r="N39" i="42" s="1"/>
  <c r="B39" i="42"/>
  <c r="X38" i="42"/>
  <c r="Z38" i="42" s="1"/>
  <c r="N38" i="42"/>
  <c r="L38" i="42"/>
  <c r="B38" i="42"/>
  <c r="T37" i="42"/>
  <c r="P37" i="42"/>
  <c r="J37" i="42"/>
  <c r="H37" i="42"/>
  <c r="D37" i="42"/>
  <c r="L37" i="42" s="1"/>
  <c r="N37" i="42" s="1"/>
  <c r="B37" i="42"/>
  <c r="X36" i="42"/>
  <c r="Z36" i="42" s="1"/>
  <c r="N36" i="42"/>
  <c r="L36" i="42"/>
  <c r="J36" i="42"/>
  <c r="B36" i="42"/>
  <c r="Z35" i="42"/>
  <c r="X35" i="42"/>
  <c r="L35" i="42"/>
  <c r="N35" i="42" s="1"/>
  <c r="B35" i="42"/>
  <c r="X34" i="42"/>
  <c r="Z34" i="42" s="1"/>
  <c r="N34" i="42"/>
  <c r="L34" i="42"/>
  <c r="B34" i="42"/>
  <c r="Z33" i="42"/>
  <c r="X33" i="42"/>
  <c r="N33" i="42"/>
  <c r="L33" i="42"/>
  <c r="B33" i="42"/>
  <c r="X32" i="42"/>
  <c r="Z32" i="42" s="1"/>
  <c r="L32" i="42"/>
  <c r="N32" i="42" s="1"/>
  <c r="B32" i="42"/>
  <c r="X31" i="42"/>
  <c r="Z31" i="42" s="1"/>
  <c r="N31" i="42"/>
  <c r="L31" i="42"/>
  <c r="J31" i="42"/>
  <c r="B31" i="42"/>
  <c r="Z30" i="42"/>
  <c r="X30" i="42"/>
  <c r="L30" i="42"/>
  <c r="N30" i="42" s="1"/>
  <c r="B30" i="42"/>
  <c r="X29" i="42"/>
  <c r="Z29" i="42" s="1"/>
  <c r="N29" i="42"/>
  <c r="L29" i="42"/>
  <c r="B29" i="42"/>
  <c r="X28" i="42"/>
  <c r="Z28" i="42" s="1"/>
  <c r="L28" i="42"/>
  <c r="N28" i="42" s="1"/>
  <c r="J28" i="42"/>
  <c r="B28" i="42"/>
  <c r="T27" i="42"/>
  <c r="P27" i="42"/>
  <c r="X27" i="42" s="1"/>
  <c r="Z27" i="42" s="1"/>
  <c r="H27" i="42"/>
  <c r="N27" i="42" s="1"/>
  <c r="D27" i="42"/>
  <c r="L27" i="42" s="1"/>
  <c r="B27" i="42"/>
  <c r="T26" i="42" a="1"/>
  <c r="T26" i="42" s="1"/>
  <c r="P26" i="42" a="1"/>
  <c r="P26" i="42" s="1"/>
  <c r="X26" i="42" s="1"/>
  <c r="Z26" i="42" s="1"/>
  <c r="H26" i="42" a="1"/>
  <c r="H26" i="42" s="1"/>
  <c r="D26" i="42" a="1"/>
  <c r="D26" i="42" s="1"/>
  <c r="Z22" i="42"/>
  <c r="X22" i="42"/>
  <c r="N22" i="42"/>
  <c r="L22" i="42"/>
  <c r="B22" i="42"/>
  <c r="Z21" i="42"/>
  <c r="X21" i="42"/>
  <c r="N21" i="42"/>
  <c r="L21" i="42"/>
  <c r="J21" i="42"/>
  <c r="B21" i="42"/>
  <c r="Z20" i="42"/>
  <c r="X20" i="42"/>
  <c r="L20" i="42"/>
  <c r="N20" i="42" s="1"/>
  <c r="B20" i="42"/>
  <c r="X19" i="42"/>
  <c r="Z19" i="42" s="1"/>
  <c r="T19" i="42"/>
  <c r="P19" i="42"/>
  <c r="H19" i="42"/>
  <c r="D19" i="42"/>
  <c r="Z17" i="42"/>
  <c r="P17" i="42"/>
  <c r="X17" i="42" s="1"/>
  <c r="N17" i="42"/>
  <c r="D17" i="42"/>
  <c r="B17" i="42"/>
  <c r="X16" i="42"/>
  <c r="Z16" i="42" s="1"/>
  <c r="P16" i="42"/>
  <c r="N16" i="42"/>
  <c r="L16" i="42"/>
  <c r="D16" i="42"/>
  <c r="B16" i="42"/>
  <c r="Z15" i="42"/>
  <c r="P15" i="42"/>
  <c r="P12" i="42" s="1"/>
  <c r="N15" i="42"/>
  <c r="L15" i="42"/>
  <c r="D15" i="42"/>
  <c r="B15" i="42"/>
  <c r="Z14" i="42"/>
  <c r="X14" i="42"/>
  <c r="P14" i="42"/>
  <c r="N14" i="42"/>
  <c r="D14" i="42"/>
  <c r="L14" i="42" s="1"/>
  <c r="B14" i="42"/>
  <c r="X13" i="42"/>
  <c r="Z13" i="42" s="1"/>
  <c r="P13" i="42"/>
  <c r="L13" i="42"/>
  <c r="N13" i="42" s="1"/>
  <c r="D13" i="42"/>
  <c r="B13" i="42"/>
  <c r="T12" i="42"/>
  <c r="H12" i="42"/>
  <c r="J105" i="42" s="1"/>
  <c r="D4" i="42"/>
  <c r="B39" i="41"/>
  <c r="B38" i="41"/>
  <c r="T34" i="4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P22" i="41"/>
  <c r="H22" i="41"/>
  <c r="N22" i="41" s="1"/>
  <c r="D22" i="41"/>
  <c r="B22" i="41"/>
  <c r="T21" i="41"/>
  <c r="Z21" i="41" s="1"/>
  <c r="P21" i="41"/>
  <c r="H21" i="41"/>
  <c r="D21" i="41"/>
  <c r="B21" i="41"/>
  <c r="T20" i="41"/>
  <c r="Z20" i="41" s="1"/>
  <c r="P20" i="41"/>
  <c r="H20" i="41"/>
  <c r="D20" i="41"/>
  <c r="T16" i="41"/>
  <c r="P16" i="41"/>
  <c r="H16" i="4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4" i="41" s="1"/>
  <c r="P12" i="41"/>
  <c r="H12" i="41"/>
  <c r="J20" i="41" s="1"/>
  <c r="D12" i="41"/>
  <c r="F36" i="41" s="1"/>
  <c r="D5" i="41"/>
  <c r="D4" i="41"/>
  <c r="B39" i="40"/>
  <c r="B38" i="40"/>
  <c r="T34" i="40"/>
  <c r="Z34" i="40" s="1"/>
  <c r="P34" i="40"/>
  <c r="H34" i="40"/>
  <c r="N34" i="40" s="1"/>
  <c r="D34" i="40"/>
  <c r="T33" i="40"/>
  <c r="P33" i="40"/>
  <c r="H33" i="40"/>
  <c r="N33" i="40" s="1"/>
  <c r="D33" i="40"/>
  <c r="T29" i="40"/>
  <c r="P29" i="40"/>
  <c r="H29" i="40"/>
  <c r="N29" i="40" s="1"/>
  <c r="D29" i="40"/>
  <c r="T25" i="40"/>
  <c r="P25" i="40"/>
  <c r="H25" i="40"/>
  <c r="N25" i="40" s="1"/>
  <c r="D25" i="40"/>
  <c r="B25" i="40"/>
  <c r="T24" i="40"/>
  <c r="Z24" i="40" s="1"/>
  <c r="P24" i="40"/>
  <c r="H24" i="40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P20" i="40"/>
  <c r="H20" i="40"/>
  <c r="N20" i="40" s="1"/>
  <c r="D20" i="40"/>
  <c r="T16" i="40"/>
  <c r="P16" i="40"/>
  <c r="H16" i="40"/>
  <c r="N16" i="40" s="1"/>
  <c r="D16" i="40"/>
  <c r="B16" i="40"/>
  <c r="T15" i="40"/>
  <c r="P15" i="40"/>
  <c r="H15" i="40"/>
  <c r="N15" i="40" s="1"/>
  <c r="D15" i="40"/>
  <c r="T13" i="40"/>
  <c r="P13" i="40"/>
  <c r="H13" i="40"/>
  <c r="N13" i="40" s="1"/>
  <c r="D13" i="40"/>
  <c r="B13" i="40"/>
  <c r="T12" i="40"/>
  <c r="P12" i="40"/>
  <c r="H12" i="40"/>
  <c r="J22" i="40" s="1"/>
  <c r="D12" i="40"/>
  <c r="F27" i="40" s="1"/>
  <c r="D5" i="40"/>
  <c r="D4" i="40"/>
  <c r="X118" i="39"/>
  <c r="Z118" i="39" s="1"/>
  <c r="N118" i="39"/>
  <c r="L118" i="39"/>
  <c r="Z114" i="39"/>
  <c r="X114" i="39"/>
  <c r="P114" i="39"/>
  <c r="N114" i="39"/>
  <c r="D114" i="39"/>
  <c r="L114" i="39" s="1"/>
  <c r="B114" i="39"/>
  <c r="Z113" i="39"/>
  <c r="P113" i="39"/>
  <c r="X113" i="39" s="1"/>
  <c r="N113" i="39"/>
  <c r="L113" i="39"/>
  <c r="D113" i="39"/>
  <c r="B113" i="39"/>
  <c r="P112" i="39"/>
  <c r="X112" i="39" s="1"/>
  <c r="Z112" i="39" s="1"/>
  <c r="N112" i="39"/>
  <c r="D112" i="39"/>
  <c r="L112" i="39" s="1"/>
  <c r="B112" i="39"/>
  <c r="Z111" i="39"/>
  <c r="X111" i="39"/>
  <c r="P111" i="39"/>
  <c r="N111" i="39"/>
  <c r="D111" i="39"/>
  <c r="L111" i="39" s="1"/>
  <c r="B111" i="39"/>
  <c r="T110" i="39"/>
  <c r="Z110" i="39" s="1"/>
  <c r="P110" i="39"/>
  <c r="X110" i="39" s="1"/>
  <c r="H110" i="39"/>
  <c r="Z108" i="39"/>
  <c r="X108" i="39"/>
  <c r="L108" i="39"/>
  <c r="N108" i="39" s="1"/>
  <c r="B108" i="39"/>
  <c r="T107" i="39"/>
  <c r="P107" i="39"/>
  <c r="X107" i="39" s="1"/>
  <c r="Z107" i="39" s="1"/>
  <c r="L107" i="39"/>
  <c r="H107" i="39"/>
  <c r="N107" i="39" s="1"/>
  <c r="D107" i="39"/>
  <c r="B107" i="39"/>
  <c r="Z106" i="39"/>
  <c r="X106" i="39"/>
  <c r="N106" i="39"/>
  <c r="L106" i="39"/>
  <c r="B106" i="39"/>
  <c r="X105" i="39"/>
  <c r="Z105" i="39" s="1"/>
  <c r="N105" i="39"/>
  <c r="L105" i="39"/>
  <c r="B105" i="39"/>
  <c r="T104" i="39"/>
  <c r="P104" i="39"/>
  <c r="H104" i="39"/>
  <c r="N104" i="39" s="1"/>
  <c r="D104" i="39"/>
  <c r="L104" i="39" s="1"/>
  <c r="B104" i="39"/>
  <c r="X103" i="39"/>
  <c r="Z103" i="39" s="1"/>
  <c r="N103" i="39"/>
  <c r="L103" i="39"/>
  <c r="B103" i="39"/>
  <c r="T102" i="39"/>
  <c r="Z102" i="39" s="1"/>
  <c r="P102" i="39"/>
  <c r="X102" i="39" s="1"/>
  <c r="H102" i="39"/>
  <c r="N102" i="39" s="1"/>
  <c r="D102" i="39"/>
  <c r="L102" i="39" s="1"/>
  <c r="B102" i="39"/>
  <c r="Z101" i="39"/>
  <c r="X101" i="39"/>
  <c r="L101" i="39"/>
  <c r="N101" i="39" s="1"/>
  <c r="B101" i="39"/>
  <c r="X100" i="39"/>
  <c r="Z100" i="39" s="1"/>
  <c r="N100" i="39"/>
  <c r="L100" i="39"/>
  <c r="B100" i="39"/>
  <c r="T99" i="39"/>
  <c r="X99" i="39" s="1"/>
  <c r="P99" i="39"/>
  <c r="N99" i="39"/>
  <c r="H99" i="39"/>
  <c r="D99" i="39"/>
  <c r="L99" i="39" s="1"/>
  <c r="B99" i="39"/>
  <c r="X98" i="39"/>
  <c r="Z98" i="39" s="1"/>
  <c r="N98" i="39"/>
  <c r="L98" i="39"/>
  <c r="B98" i="39"/>
  <c r="Z97" i="39"/>
  <c r="X97" i="39"/>
  <c r="L97" i="39"/>
  <c r="N97" i="39" s="1"/>
  <c r="B97" i="39"/>
  <c r="X96" i="39"/>
  <c r="Z96" i="39" s="1"/>
  <c r="N96" i="39"/>
  <c r="L96" i="39"/>
  <c r="B96" i="39"/>
  <c r="X95" i="39"/>
  <c r="Z95" i="39" s="1"/>
  <c r="N95" i="39"/>
  <c r="L95" i="39"/>
  <c r="B95" i="39"/>
  <c r="Z94" i="39"/>
  <c r="X94" i="39"/>
  <c r="L94" i="39"/>
  <c r="N94" i="39" s="1"/>
  <c r="B94" i="39"/>
  <c r="X93" i="39"/>
  <c r="Z93" i="39" s="1"/>
  <c r="N93" i="39"/>
  <c r="L93" i="39"/>
  <c r="B93" i="39"/>
  <c r="Z92" i="39"/>
  <c r="X92" i="39"/>
  <c r="N92" i="39"/>
  <c r="L92" i="39"/>
  <c r="B92" i="39"/>
  <c r="Z91" i="39"/>
  <c r="X91" i="39"/>
  <c r="L91" i="39"/>
  <c r="N91" i="39" s="1"/>
  <c r="B91" i="39"/>
  <c r="X90" i="39"/>
  <c r="Z90" i="39" s="1"/>
  <c r="N90" i="39"/>
  <c r="L90" i="39"/>
  <c r="B90" i="39"/>
  <c r="Z89" i="39"/>
  <c r="X89" i="39"/>
  <c r="L89" i="39"/>
  <c r="N89" i="39" s="1"/>
  <c r="B89" i="39"/>
  <c r="T88" i="39"/>
  <c r="P88" i="39"/>
  <c r="X88" i="39" s="1"/>
  <c r="L88" i="39"/>
  <c r="N88" i="39" s="1"/>
  <c r="H88" i="39"/>
  <c r="D88" i="39"/>
  <c r="B88" i="39"/>
  <c r="Z87" i="39"/>
  <c r="X87" i="39"/>
  <c r="L87" i="39"/>
  <c r="N87" i="39" s="1"/>
  <c r="B87" i="39"/>
  <c r="X86" i="39"/>
  <c r="Z86" i="39" s="1"/>
  <c r="T86" i="39"/>
  <c r="P86" i="39"/>
  <c r="H86" i="39"/>
  <c r="D86" i="39"/>
  <c r="B86" i="39"/>
  <c r="X85" i="39"/>
  <c r="Z85" i="39" s="1"/>
  <c r="N85" i="39"/>
  <c r="L85" i="39"/>
  <c r="B85" i="39"/>
  <c r="Z84" i="39"/>
  <c r="X84" i="39"/>
  <c r="L84" i="39"/>
  <c r="N84" i="39" s="1"/>
  <c r="B84" i="39"/>
  <c r="Z83" i="39"/>
  <c r="X83" i="39"/>
  <c r="L83" i="39"/>
  <c r="N83" i="39" s="1"/>
  <c r="B83" i="39"/>
  <c r="X82" i="39"/>
  <c r="Z82" i="39" s="1"/>
  <c r="L82" i="39"/>
  <c r="N82" i="39" s="1"/>
  <c r="B82" i="39"/>
  <c r="Z81" i="39"/>
  <c r="X81" i="39"/>
  <c r="L81" i="39"/>
  <c r="N81" i="39" s="1"/>
  <c r="B81" i="39"/>
  <c r="T80" i="39"/>
  <c r="Z80" i="39" s="1"/>
  <c r="P80" i="39"/>
  <c r="X80" i="39" s="1"/>
  <c r="L80" i="39"/>
  <c r="N80" i="39" s="1"/>
  <c r="H80" i="39"/>
  <c r="D80" i="39"/>
  <c r="B80" i="39"/>
  <c r="Z79" i="39"/>
  <c r="X79" i="39"/>
  <c r="N79" i="39"/>
  <c r="L79" i="39"/>
  <c r="B79" i="39"/>
  <c r="Z78" i="39"/>
  <c r="X78" i="39"/>
  <c r="N78" i="39"/>
  <c r="L78" i="39"/>
  <c r="B78" i="39"/>
  <c r="Z77" i="39"/>
  <c r="T77" i="39"/>
  <c r="P77" i="39"/>
  <c r="X77" i="39" s="1"/>
  <c r="N77" i="39"/>
  <c r="L77" i="39"/>
  <c r="H77" i="39"/>
  <c r="D77" i="39"/>
  <c r="B77" i="39"/>
  <c r="Z76" i="39"/>
  <c r="X76" i="39"/>
  <c r="L76" i="39"/>
  <c r="N76" i="39" s="1"/>
  <c r="B76" i="39"/>
  <c r="Z75" i="39"/>
  <c r="X75" i="39"/>
  <c r="N75" i="39"/>
  <c r="L75" i="39"/>
  <c r="B75" i="39"/>
  <c r="X74" i="39"/>
  <c r="Z74" i="39" s="1"/>
  <c r="N74" i="39"/>
  <c r="L74" i="39"/>
  <c r="B74" i="39"/>
  <c r="Z73" i="39"/>
  <c r="X73" i="39"/>
  <c r="N73" i="39"/>
  <c r="L73" i="39"/>
  <c r="B73" i="39"/>
  <c r="T72" i="39"/>
  <c r="P72" i="39"/>
  <c r="X72" i="39" s="1"/>
  <c r="L72" i="39"/>
  <c r="N72" i="39" s="1"/>
  <c r="H72" i="39"/>
  <c r="D72" i="39"/>
  <c r="B72" i="39"/>
  <c r="Z71" i="39"/>
  <c r="X71" i="39"/>
  <c r="L71" i="39"/>
  <c r="N71" i="39" s="1"/>
  <c r="B71" i="39"/>
  <c r="X70" i="39"/>
  <c r="Z70" i="39" s="1"/>
  <c r="T70" i="39"/>
  <c r="P70" i="39"/>
  <c r="H70" i="39"/>
  <c r="D70" i="39"/>
  <c r="B70" i="39"/>
  <c r="X69" i="39"/>
  <c r="Z69" i="39" s="1"/>
  <c r="N69" i="39"/>
  <c r="L69" i="39"/>
  <c r="B69" i="39"/>
  <c r="T68" i="39"/>
  <c r="P68" i="39"/>
  <c r="H68" i="39"/>
  <c r="N68" i="39" s="1"/>
  <c r="D68" i="39"/>
  <c r="L68" i="39" s="1"/>
  <c r="B68" i="39"/>
  <c r="X67" i="39"/>
  <c r="Z67" i="39" s="1"/>
  <c r="N67" i="39"/>
  <c r="L67" i="39"/>
  <c r="B67" i="39"/>
  <c r="T66" i="39"/>
  <c r="Z66" i="39" s="1"/>
  <c r="P66" i="39"/>
  <c r="X66" i="39" s="1"/>
  <c r="H66" i="39"/>
  <c r="D66" i="39"/>
  <c r="L66" i="39" s="1"/>
  <c r="B66" i="39"/>
  <c r="Z65" i="39"/>
  <c r="X65" i="39"/>
  <c r="N65" i="39"/>
  <c r="L65" i="39"/>
  <c r="B65" i="39"/>
  <c r="X64" i="39"/>
  <c r="Z64" i="39" s="1"/>
  <c r="N64" i="39"/>
  <c r="L64" i="39"/>
  <c r="B64" i="39"/>
  <c r="T63" i="39"/>
  <c r="P63" i="39"/>
  <c r="X63" i="39" s="1"/>
  <c r="N63" i="39"/>
  <c r="H63" i="39"/>
  <c r="D63" i="39"/>
  <c r="L63" i="39" s="1"/>
  <c r="B63" i="39"/>
  <c r="X62" i="39"/>
  <c r="Z62" i="39" s="1"/>
  <c r="L62" i="39"/>
  <c r="N62" i="39" s="1"/>
  <c r="B62" i="39"/>
  <c r="T61" i="39"/>
  <c r="P61" i="39"/>
  <c r="X61" i="39" s="1"/>
  <c r="Z61" i="39" s="1"/>
  <c r="N61" i="39"/>
  <c r="L61" i="39"/>
  <c r="H61" i="39"/>
  <c r="D61" i="39"/>
  <c r="B61" i="39"/>
  <c r="Z60" i="39"/>
  <c r="X60" i="39"/>
  <c r="N60" i="39"/>
  <c r="L60" i="39"/>
  <c r="B60" i="39"/>
  <c r="Z59" i="39"/>
  <c r="X59" i="39"/>
  <c r="T59" i="39"/>
  <c r="P59" i="39"/>
  <c r="L59" i="39"/>
  <c r="H59" i="39"/>
  <c r="N59" i="39" s="1"/>
  <c r="D59" i="39"/>
  <c r="B59" i="39"/>
  <c r="X58" i="39"/>
  <c r="Z58" i="39" s="1"/>
  <c r="L58" i="39"/>
  <c r="N58" i="39" s="1"/>
  <c r="B58" i="39"/>
  <c r="Z57" i="39"/>
  <c r="X57" i="39"/>
  <c r="N57" i="39"/>
  <c r="L57" i="39"/>
  <c r="B57" i="39"/>
  <c r="T56" i="39"/>
  <c r="X56" i="39" s="1"/>
  <c r="Z56" i="39" s="1"/>
  <c r="P56" i="39"/>
  <c r="H56" i="39"/>
  <c r="D56" i="39"/>
  <c r="L56" i="39" s="1"/>
  <c r="B56" i="39"/>
  <c r="X55" i="39"/>
  <c r="Z55" i="39" s="1"/>
  <c r="N55" i="39"/>
  <c r="L55" i="39"/>
  <c r="B55" i="39"/>
  <c r="T54" i="39"/>
  <c r="P54" i="39"/>
  <c r="H54" i="39"/>
  <c r="N54" i="39" s="1"/>
  <c r="D54" i="39"/>
  <c r="L54" i="39" s="1"/>
  <c r="B54" i="39"/>
  <c r="Z53" i="39"/>
  <c r="X53" i="39"/>
  <c r="L53" i="39"/>
  <c r="N53" i="39" s="1"/>
  <c r="B53" i="39"/>
  <c r="T52" i="39"/>
  <c r="P52" i="39"/>
  <c r="X52" i="39" s="1"/>
  <c r="L52" i="39"/>
  <c r="N52" i="39" s="1"/>
  <c r="H52" i="39"/>
  <c r="D52" i="39"/>
  <c r="B52" i="39"/>
  <c r="Z51" i="39"/>
  <c r="X51" i="39"/>
  <c r="N51" i="39"/>
  <c r="L51" i="39"/>
  <c r="B51" i="39"/>
  <c r="Z50" i="39"/>
  <c r="X50" i="39"/>
  <c r="T50" i="39"/>
  <c r="P50" i="39"/>
  <c r="H50" i="39"/>
  <c r="N50" i="39" s="1"/>
  <c r="D50" i="39"/>
  <c r="B50" i="39"/>
  <c r="Z49" i="39"/>
  <c r="X49" i="39"/>
  <c r="N49" i="39"/>
  <c r="L49" i="39"/>
  <c r="B49" i="39"/>
  <c r="Z48" i="39"/>
  <c r="X48" i="39"/>
  <c r="N48" i="39"/>
  <c r="L48" i="39"/>
  <c r="B48" i="39"/>
  <c r="Z47" i="39"/>
  <c r="X47" i="39"/>
  <c r="L47" i="39"/>
  <c r="N47" i="39" s="1"/>
  <c r="B47" i="39"/>
  <c r="X46" i="39"/>
  <c r="Z46" i="39" s="1"/>
  <c r="L46" i="39"/>
  <c r="N46" i="39" s="1"/>
  <c r="B46" i="39"/>
  <c r="Z45" i="39"/>
  <c r="X45" i="39"/>
  <c r="N45" i="39"/>
  <c r="L45" i="39"/>
  <c r="B45" i="39"/>
  <c r="X44" i="39"/>
  <c r="Z44" i="39" s="1"/>
  <c r="N44" i="39"/>
  <c r="L44" i="39"/>
  <c r="B44" i="39"/>
  <c r="X43" i="39"/>
  <c r="Z43" i="39" s="1"/>
  <c r="N43" i="39"/>
  <c r="L43" i="39"/>
  <c r="J43" i="39"/>
  <c r="B43" i="39"/>
  <c r="Z42" i="39"/>
  <c r="X42" i="39"/>
  <c r="N42" i="39"/>
  <c r="L42" i="39"/>
  <c r="B42" i="39"/>
  <c r="X41" i="39"/>
  <c r="Z41" i="39" s="1"/>
  <c r="N41" i="39"/>
  <c r="L41" i="39"/>
  <c r="B41" i="39"/>
  <c r="Z40" i="39"/>
  <c r="X40" i="39"/>
  <c r="N40" i="39"/>
  <c r="L40" i="39"/>
  <c r="B40" i="39"/>
  <c r="T39" i="39"/>
  <c r="P39" i="39"/>
  <c r="X39" i="39" s="1"/>
  <c r="Z39" i="39" s="1"/>
  <c r="L39" i="39"/>
  <c r="J39" i="39"/>
  <c r="H39" i="39"/>
  <c r="D39" i="39"/>
  <c r="B39" i="39"/>
  <c r="X38" i="39"/>
  <c r="Z38" i="39" s="1"/>
  <c r="L38" i="39"/>
  <c r="N38" i="39" s="1"/>
  <c r="B38" i="39"/>
  <c r="X37" i="39"/>
  <c r="Z37" i="39" s="1"/>
  <c r="N37" i="39"/>
  <c r="L37" i="39"/>
  <c r="B37" i="39"/>
  <c r="Z36" i="39"/>
  <c r="X36" i="39"/>
  <c r="N36" i="39"/>
  <c r="L36" i="39"/>
  <c r="B36" i="39"/>
  <c r="Z35" i="39"/>
  <c r="X35" i="39"/>
  <c r="V35" i="39"/>
  <c r="N35" i="39"/>
  <c r="L35" i="39"/>
  <c r="B35" i="39"/>
  <c r="Z34" i="39"/>
  <c r="X34" i="39"/>
  <c r="N34" i="39"/>
  <c r="L34" i="39"/>
  <c r="J34" i="39"/>
  <c r="B34" i="39"/>
  <c r="Z33" i="39"/>
  <c r="X33" i="39"/>
  <c r="L33" i="39"/>
  <c r="N33" i="39" s="1"/>
  <c r="J33" i="39"/>
  <c r="B33" i="39"/>
  <c r="X32" i="39"/>
  <c r="Z32" i="39" s="1"/>
  <c r="L32" i="39"/>
  <c r="N32" i="39" s="1"/>
  <c r="B32" i="39"/>
  <c r="X31" i="39"/>
  <c r="Z31" i="39" s="1"/>
  <c r="N31" i="39"/>
  <c r="L31" i="39"/>
  <c r="B31" i="39"/>
  <c r="X30" i="39"/>
  <c r="Z30" i="39" s="1"/>
  <c r="L30" i="39"/>
  <c r="N30" i="39" s="1"/>
  <c r="B30" i="39"/>
  <c r="X29" i="39"/>
  <c r="Z29" i="39" s="1"/>
  <c r="N29" i="39"/>
  <c r="L29" i="39"/>
  <c r="B29" i="39"/>
  <c r="T28" i="39"/>
  <c r="P28" i="39"/>
  <c r="H28" i="39"/>
  <c r="D28" i="39"/>
  <c r="B28" i="39"/>
  <c r="T27" i="39" a="1"/>
  <c r="T27" i="39" s="1"/>
  <c r="P27" i="39" a="1"/>
  <c r="P27" i="39" s="1"/>
  <c r="H27" i="39" a="1"/>
  <c r="H27" i="39" s="1"/>
  <c r="D27" i="39" a="1"/>
  <c r="D27" i="39" s="1"/>
  <c r="H25" i="39"/>
  <c r="Z23" i="39"/>
  <c r="X23" i="39"/>
  <c r="N23" i="39"/>
  <c r="L23" i="39"/>
  <c r="J23" i="39"/>
  <c r="B23" i="39"/>
  <c r="Z22" i="39"/>
  <c r="X22" i="39"/>
  <c r="N22" i="39"/>
  <c r="L22" i="39"/>
  <c r="B22" i="39"/>
  <c r="X21" i="39"/>
  <c r="Z21" i="39" s="1"/>
  <c r="N21" i="39"/>
  <c r="L21" i="39"/>
  <c r="J21" i="39"/>
  <c r="B21" i="39"/>
  <c r="Z20" i="39"/>
  <c r="X20" i="39"/>
  <c r="T20" i="39"/>
  <c r="P20" i="39"/>
  <c r="J20" i="39"/>
  <c r="H20" i="39"/>
  <c r="L20" i="39" s="1"/>
  <c r="N20" i="39" s="1"/>
  <c r="D20" i="39"/>
  <c r="Z18" i="39"/>
  <c r="P18" i="39"/>
  <c r="X18" i="39" s="1"/>
  <c r="N18" i="39"/>
  <c r="L18" i="39"/>
  <c r="D18" i="39"/>
  <c r="B18" i="39"/>
  <c r="Z17" i="39"/>
  <c r="P17" i="39"/>
  <c r="X17" i="39" s="1"/>
  <c r="N17" i="39"/>
  <c r="D17" i="39"/>
  <c r="L17" i="39" s="1"/>
  <c r="B17" i="39"/>
  <c r="Z16" i="39"/>
  <c r="X16" i="39"/>
  <c r="P16" i="39"/>
  <c r="L16" i="39"/>
  <c r="N16" i="39" s="1"/>
  <c r="D16" i="39"/>
  <c r="B16" i="39"/>
  <c r="Z15" i="39"/>
  <c r="X15" i="39"/>
  <c r="P15" i="39"/>
  <c r="N15" i="39"/>
  <c r="D15" i="39"/>
  <c r="L15" i="39" s="1"/>
  <c r="B15" i="39"/>
  <c r="Z14" i="39"/>
  <c r="P14" i="39"/>
  <c r="X14" i="39" s="1"/>
  <c r="N14" i="39"/>
  <c r="D14" i="39"/>
  <c r="L14" i="39" s="1"/>
  <c r="B14" i="39"/>
  <c r="X13" i="39"/>
  <c r="Z13" i="39" s="1"/>
  <c r="P13" i="39"/>
  <c r="N13" i="39"/>
  <c r="L13" i="39"/>
  <c r="D13" i="39"/>
  <c r="B13" i="39"/>
  <c r="T12" i="39"/>
  <c r="V111" i="39" s="1"/>
  <c r="H12" i="39"/>
  <c r="J95" i="39" s="1"/>
  <c r="D4" i="39"/>
  <c r="B39" i="38"/>
  <c r="B38" i="38"/>
  <c r="T34" i="38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D15" i="38"/>
  <c r="T13" i="38"/>
  <c r="Z13" i="38" s="1"/>
  <c r="P13" i="38"/>
  <c r="H13" i="38"/>
  <c r="N13" i="38" s="1"/>
  <c r="D13" i="38"/>
  <c r="B13" i="38"/>
  <c r="T12" i="38"/>
  <c r="P12" i="38"/>
  <c r="R34" i="38" s="1"/>
  <c r="H12" i="38"/>
  <c r="J24" i="38" s="1"/>
  <c r="D12" i="38"/>
  <c r="D5" i="38"/>
  <c r="D4" i="38"/>
  <c r="B39" i="37"/>
  <c r="B38" i="37"/>
  <c r="T34" i="37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D21" i="37"/>
  <c r="B21" i="37"/>
  <c r="T20" i="37"/>
  <c r="P20" i="37"/>
  <c r="H20" i="37"/>
  <c r="N20" i="37" s="1"/>
  <c r="D20" i="37"/>
  <c r="T16" i="37"/>
  <c r="P16" i="37"/>
  <c r="H16" i="37"/>
  <c r="N16" i="37" s="1"/>
  <c r="D16" i="37"/>
  <c r="B16" i="37"/>
  <c r="T15" i="37"/>
  <c r="Z15" i="37" s="1"/>
  <c r="P15" i="37"/>
  <c r="H15" i="37"/>
  <c r="D15" i="37"/>
  <c r="T13" i="37"/>
  <c r="Z13" i="37" s="1"/>
  <c r="P13" i="37"/>
  <c r="H13" i="37"/>
  <c r="N13" i="37" s="1"/>
  <c r="D13" i="37"/>
  <c r="B13" i="37"/>
  <c r="T12" i="37"/>
  <c r="P12" i="37"/>
  <c r="H12" i="37"/>
  <c r="J27" i="37" s="1"/>
  <c r="D12" i="37"/>
  <c r="F24" i="37" s="1"/>
  <c r="D5" i="37"/>
  <c r="D4" i="37"/>
  <c r="X122" i="36"/>
  <c r="Z122" i="36" s="1"/>
  <c r="L122" i="36"/>
  <c r="N122" i="36" s="1"/>
  <c r="Z118" i="36"/>
  <c r="X118" i="36"/>
  <c r="P118" i="36"/>
  <c r="N118" i="36"/>
  <c r="D118" i="36"/>
  <c r="L118" i="36" s="1"/>
  <c r="B118" i="36"/>
  <c r="Z117" i="36"/>
  <c r="X117" i="36"/>
  <c r="P117" i="36"/>
  <c r="L117" i="36"/>
  <c r="N117" i="36" s="1"/>
  <c r="D117" i="36"/>
  <c r="B117" i="36"/>
  <c r="P116" i="36"/>
  <c r="X116" i="36" s="1"/>
  <c r="Z116" i="36" s="1"/>
  <c r="N116" i="36"/>
  <c r="L116" i="36"/>
  <c r="D116" i="36"/>
  <c r="B116" i="36"/>
  <c r="V115" i="36"/>
  <c r="P115" i="36"/>
  <c r="X115" i="36" s="1"/>
  <c r="Z115" i="36" s="1"/>
  <c r="N115" i="36"/>
  <c r="D115" i="36"/>
  <c r="L115" i="36" s="1"/>
  <c r="B115" i="36"/>
  <c r="T114" i="36"/>
  <c r="P114" i="36"/>
  <c r="X114" i="36" s="1"/>
  <c r="Z114" i="36" s="1"/>
  <c r="H114" i="36"/>
  <c r="X112" i="36"/>
  <c r="Z112" i="36" s="1"/>
  <c r="L112" i="36"/>
  <c r="N112" i="36" s="1"/>
  <c r="B112" i="36"/>
  <c r="V111" i="36"/>
  <c r="T111" i="36"/>
  <c r="X111" i="36" s="1"/>
  <c r="Z111" i="36" s="1"/>
  <c r="P111" i="36"/>
  <c r="H111" i="36"/>
  <c r="D111" i="36"/>
  <c r="L111" i="36" s="1"/>
  <c r="B111" i="36"/>
  <c r="Z110" i="36"/>
  <c r="X110" i="36"/>
  <c r="N110" i="36"/>
  <c r="L110" i="36"/>
  <c r="B110" i="36"/>
  <c r="X109" i="36"/>
  <c r="Z109" i="36" s="1"/>
  <c r="N109" i="36"/>
  <c r="L109" i="36"/>
  <c r="B109" i="36"/>
  <c r="T108" i="36"/>
  <c r="P108" i="36"/>
  <c r="H108" i="36"/>
  <c r="N108" i="36" s="1"/>
  <c r="D108" i="36"/>
  <c r="L108" i="36" s="1"/>
  <c r="B108" i="36"/>
  <c r="Z107" i="36"/>
  <c r="X107" i="36"/>
  <c r="N107" i="36"/>
  <c r="L107" i="36"/>
  <c r="J107" i="36"/>
  <c r="B107" i="36"/>
  <c r="T106" i="36"/>
  <c r="Z106" i="36" s="1"/>
  <c r="P106" i="36"/>
  <c r="X106" i="36" s="1"/>
  <c r="H106" i="36"/>
  <c r="D106" i="36"/>
  <c r="L106" i="36" s="1"/>
  <c r="N106" i="36" s="1"/>
  <c r="B106" i="36"/>
  <c r="Z105" i="36"/>
  <c r="X105" i="36"/>
  <c r="N105" i="36"/>
  <c r="L105" i="36"/>
  <c r="B105" i="36"/>
  <c r="X104" i="36"/>
  <c r="Z104" i="36" s="1"/>
  <c r="L104" i="36"/>
  <c r="N104" i="36" s="1"/>
  <c r="F104" i="36"/>
  <c r="B104" i="36"/>
  <c r="T103" i="36"/>
  <c r="P103" i="36"/>
  <c r="X103" i="36" s="1"/>
  <c r="Z103" i="36" s="1"/>
  <c r="N103" i="36"/>
  <c r="L103" i="36"/>
  <c r="H103" i="36"/>
  <c r="D103" i="36"/>
  <c r="B103" i="36"/>
  <c r="X102" i="36"/>
  <c r="Z102" i="36" s="1"/>
  <c r="L102" i="36"/>
  <c r="N102" i="36" s="1"/>
  <c r="B102" i="36"/>
  <c r="Z101" i="36"/>
  <c r="X101" i="36"/>
  <c r="N101" i="36"/>
  <c r="L101" i="36"/>
  <c r="B101" i="36"/>
  <c r="X100" i="36"/>
  <c r="Z100" i="36" s="1"/>
  <c r="L100" i="36"/>
  <c r="N100" i="36" s="1"/>
  <c r="B100" i="36"/>
  <c r="Z99" i="36"/>
  <c r="X99" i="36"/>
  <c r="N99" i="36"/>
  <c r="L99" i="36"/>
  <c r="J99" i="36"/>
  <c r="B99" i="36"/>
  <c r="X98" i="36"/>
  <c r="Z98" i="36" s="1"/>
  <c r="L98" i="36"/>
  <c r="N98" i="36" s="1"/>
  <c r="B98" i="36"/>
  <c r="X97" i="36"/>
  <c r="Z97" i="36" s="1"/>
  <c r="N97" i="36"/>
  <c r="L97" i="36"/>
  <c r="B97" i="36"/>
  <c r="X96" i="36"/>
  <c r="Z96" i="36" s="1"/>
  <c r="L96" i="36"/>
  <c r="N96" i="36" s="1"/>
  <c r="B96" i="36"/>
  <c r="Z95" i="36"/>
  <c r="X95" i="36"/>
  <c r="V95" i="36"/>
  <c r="N95" i="36"/>
  <c r="L95" i="36"/>
  <c r="B95" i="36"/>
  <c r="X94" i="36"/>
  <c r="Z94" i="36" s="1"/>
  <c r="L94" i="36"/>
  <c r="N94" i="36" s="1"/>
  <c r="B94" i="36"/>
  <c r="Z93" i="36"/>
  <c r="X93" i="36"/>
  <c r="N93" i="36"/>
  <c r="L93" i="36"/>
  <c r="B93" i="36"/>
  <c r="T92" i="36"/>
  <c r="P92" i="36"/>
  <c r="X92" i="36" s="1"/>
  <c r="Z92" i="36" s="1"/>
  <c r="L92" i="36"/>
  <c r="H92" i="36"/>
  <c r="N92" i="36" s="1"/>
  <c r="D92" i="36"/>
  <c r="B92" i="36"/>
  <c r="Z91" i="36"/>
  <c r="X91" i="36"/>
  <c r="V91" i="36"/>
  <c r="N91" i="36"/>
  <c r="L91" i="36"/>
  <c r="B91" i="36"/>
  <c r="X90" i="36"/>
  <c r="Z90" i="36" s="1"/>
  <c r="N90" i="36"/>
  <c r="L90" i="36"/>
  <c r="B90" i="36"/>
  <c r="Z89" i="36"/>
  <c r="X89" i="36"/>
  <c r="T89" i="36"/>
  <c r="P89" i="36"/>
  <c r="J89" i="36"/>
  <c r="H89" i="36"/>
  <c r="L89" i="36" s="1"/>
  <c r="N89" i="36" s="1"/>
  <c r="D89" i="36"/>
  <c r="B89" i="36"/>
  <c r="X88" i="36"/>
  <c r="Z88" i="36" s="1"/>
  <c r="L88" i="36"/>
  <c r="N88" i="36" s="1"/>
  <c r="B88" i="36"/>
  <c r="Z87" i="36"/>
  <c r="X87" i="36"/>
  <c r="V87" i="36"/>
  <c r="N87" i="36"/>
  <c r="L87" i="36"/>
  <c r="B87" i="36"/>
  <c r="X86" i="36"/>
  <c r="Z86" i="36" s="1"/>
  <c r="L86" i="36"/>
  <c r="N86" i="36" s="1"/>
  <c r="B86" i="36"/>
  <c r="Z85" i="36"/>
  <c r="X85" i="36"/>
  <c r="N85" i="36"/>
  <c r="L85" i="36"/>
  <c r="B85" i="36"/>
  <c r="X84" i="36"/>
  <c r="Z84" i="36" s="1"/>
  <c r="L84" i="36"/>
  <c r="N84" i="36" s="1"/>
  <c r="F84" i="36"/>
  <c r="B84" i="36"/>
  <c r="T83" i="36"/>
  <c r="P83" i="36"/>
  <c r="X83" i="36" s="1"/>
  <c r="Z83" i="36" s="1"/>
  <c r="N83" i="36"/>
  <c r="L83" i="36"/>
  <c r="H83" i="36"/>
  <c r="D83" i="36"/>
  <c r="B83" i="36"/>
  <c r="Z82" i="36"/>
  <c r="X82" i="36"/>
  <c r="N82" i="36"/>
  <c r="L82" i="36"/>
  <c r="B82" i="36"/>
  <c r="Z81" i="36"/>
  <c r="X81" i="36"/>
  <c r="T81" i="36"/>
  <c r="P81" i="36"/>
  <c r="N81" i="36"/>
  <c r="J81" i="36"/>
  <c r="H81" i="36"/>
  <c r="L81" i="36" s="1"/>
  <c r="D81" i="36"/>
  <c r="B81" i="36"/>
  <c r="X80" i="36"/>
  <c r="Z80" i="36" s="1"/>
  <c r="N80" i="36"/>
  <c r="L80" i="36"/>
  <c r="B80" i="36"/>
  <c r="Z79" i="36"/>
  <c r="X79" i="36"/>
  <c r="V79" i="36"/>
  <c r="N79" i="36"/>
  <c r="L79" i="36"/>
  <c r="B79" i="36"/>
  <c r="X78" i="36"/>
  <c r="Z78" i="36" s="1"/>
  <c r="N78" i="36"/>
  <c r="L78" i="36"/>
  <c r="B78" i="36"/>
  <c r="Z77" i="36"/>
  <c r="X77" i="36"/>
  <c r="L77" i="36"/>
  <c r="N77" i="36" s="1"/>
  <c r="B77" i="36"/>
  <c r="T76" i="36"/>
  <c r="P76" i="36"/>
  <c r="X76" i="36" s="1"/>
  <c r="Z76" i="36" s="1"/>
  <c r="L76" i="36"/>
  <c r="H76" i="36"/>
  <c r="D76" i="36"/>
  <c r="B76" i="36"/>
  <c r="Z75" i="36"/>
  <c r="X75" i="36"/>
  <c r="V75" i="36"/>
  <c r="N75" i="36"/>
  <c r="L75" i="36"/>
  <c r="B75" i="36"/>
  <c r="X74" i="36"/>
  <c r="T74" i="36"/>
  <c r="P74" i="36"/>
  <c r="H74" i="36"/>
  <c r="D74" i="36"/>
  <c r="B74" i="36"/>
  <c r="X73" i="36"/>
  <c r="Z73" i="36" s="1"/>
  <c r="N73" i="36"/>
  <c r="L73" i="36"/>
  <c r="B73" i="36"/>
  <c r="T72" i="36"/>
  <c r="P72" i="36"/>
  <c r="H72" i="36"/>
  <c r="N72" i="36" s="1"/>
  <c r="D72" i="36"/>
  <c r="L72" i="36" s="1"/>
  <c r="B72" i="36"/>
  <c r="Z71" i="36"/>
  <c r="X71" i="36"/>
  <c r="N71" i="36"/>
  <c r="L71" i="36"/>
  <c r="J71" i="36"/>
  <c r="B71" i="36"/>
  <c r="T70" i="36"/>
  <c r="P70" i="36"/>
  <c r="X70" i="36" s="1"/>
  <c r="H70" i="36"/>
  <c r="D70" i="36"/>
  <c r="L70" i="36" s="1"/>
  <c r="N70" i="36" s="1"/>
  <c r="B70" i="36"/>
  <c r="Z69" i="36"/>
  <c r="X69" i="36"/>
  <c r="N69" i="36"/>
  <c r="L69" i="36"/>
  <c r="B69" i="36"/>
  <c r="T68" i="36"/>
  <c r="P68" i="36"/>
  <c r="X68" i="36" s="1"/>
  <c r="Z68" i="36" s="1"/>
  <c r="L68" i="36"/>
  <c r="H68" i="36"/>
  <c r="N68" i="36" s="1"/>
  <c r="D68" i="36"/>
  <c r="B68" i="36"/>
  <c r="Z67" i="36"/>
  <c r="X67" i="36"/>
  <c r="V67" i="36"/>
  <c r="N67" i="36"/>
  <c r="L67" i="36"/>
  <c r="B67" i="36"/>
  <c r="X66" i="36"/>
  <c r="Z66" i="36" s="1"/>
  <c r="N66" i="36"/>
  <c r="L66" i="36"/>
  <c r="B66" i="36"/>
  <c r="Z65" i="36"/>
  <c r="X65" i="36"/>
  <c r="T65" i="36"/>
  <c r="P65" i="36"/>
  <c r="J65" i="36"/>
  <c r="H65" i="36"/>
  <c r="D65" i="36"/>
  <c r="L65" i="36" s="1"/>
  <c r="N65" i="36" s="1"/>
  <c r="B65" i="36"/>
  <c r="X64" i="36"/>
  <c r="Z64" i="36" s="1"/>
  <c r="L64" i="36"/>
  <c r="N64" i="36" s="1"/>
  <c r="B64" i="36"/>
  <c r="V63" i="36"/>
  <c r="T63" i="36"/>
  <c r="P63" i="36"/>
  <c r="X63" i="36" s="1"/>
  <c r="Z63" i="36" s="1"/>
  <c r="H63" i="36"/>
  <c r="N63" i="36" s="1"/>
  <c r="D63" i="36"/>
  <c r="L63" i="36" s="1"/>
  <c r="B63" i="36"/>
  <c r="X62" i="36"/>
  <c r="Z62" i="36" s="1"/>
  <c r="L62" i="36"/>
  <c r="N62" i="36" s="1"/>
  <c r="B62" i="36"/>
  <c r="T61" i="36"/>
  <c r="Z61" i="36" s="1"/>
  <c r="P61" i="36"/>
  <c r="X61" i="36" s="1"/>
  <c r="L61" i="36"/>
  <c r="N61" i="36" s="1"/>
  <c r="H61" i="36"/>
  <c r="D61" i="36"/>
  <c r="B61" i="36"/>
  <c r="X60" i="36"/>
  <c r="Z60" i="36" s="1"/>
  <c r="L60" i="36"/>
  <c r="N60" i="36" s="1"/>
  <c r="F60" i="36"/>
  <c r="B60" i="36"/>
  <c r="X59" i="36"/>
  <c r="Z59" i="36" s="1"/>
  <c r="T59" i="36"/>
  <c r="P59" i="36"/>
  <c r="N59" i="36"/>
  <c r="L59" i="36"/>
  <c r="H59" i="36"/>
  <c r="D59" i="36"/>
  <c r="B59" i="36"/>
  <c r="X58" i="36"/>
  <c r="Z58" i="36" s="1"/>
  <c r="N58" i="36"/>
  <c r="L58" i="36"/>
  <c r="B58" i="36"/>
  <c r="Z57" i="36"/>
  <c r="X57" i="36"/>
  <c r="N57" i="36"/>
  <c r="L57" i="36"/>
  <c r="B57" i="36"/>
  <c r="T56" i="36"/>
  <c r="P56" i="36"/>
  <c r="X56" i="36" s="1"/>
  <c r="Z56" i="36" s="1"/>
  <c r="L56" i="36"/>
  <c r="H56" i="36"/>
  <c r="N56" i="36" s="1"/>
  <c r="D56" i="36"/>
  <c r="B56" i="36"/>
  <c r="Z55" i="36"/>
  <c r="X55" i="36"/>
  <c r="V55" i="36"/>
  <c r="N55" i="36"/>
  <c r="L55" i="36"/>
  <c r="B55" i="36"/>
  <c r="X54" i="36"/>
  <c r="T54" i="36"/>
  <c r="Z54" i="36" s="1"/>
  <c r="P54" i="36"/>
  <c r="H54" i="36"/>
  <c r="D54" i="36"/>
  <c r="B54" i="36"/>
  <c r="X53" i="36"/>
  <c r="Z53" i="36" s="1"/>
  <c r="N53" i="36"/>
  <c r="L53" i="36"/>
  <c r="B53" i="36"/>
  <c r="T52" i="36"/>
  <c r="P52" i="36"/>
  <c r="H52" i="36"/>
  <c r="D52" i="36"/>
  <c r="L52" i="36" s="1"/>
  <c r="B52" i="36"/>
  <c r="X51" i="36"/>
  <c r="Z51" i="36" s="1"/>
  <c r="N51" i="36"/>
  <c r="L51" i="36"/>
  <c r="J51" i="36"/>
  <c r="B51" i="36"/>
  <c r="T50" i="36"/>
  <c r="P50" i="36"/>
  <c r="X50" i="36" s="1"/>
  <c r="H50" i="36"/>
  <c r="D50" i="36"/>
  <c r="L50" i="36" s="1"/>
  <c r="B50" i="36"/>
  <c r="Z49" i="36"/>
  <c r="X49" i="36"/>
  <c r="N49" i="36"/>
  <c r="L49" i="36"/>
  <c r="B49" i="36"/>
  <c r="Z48" i="36"/>
  <c r="X48" i="36"/>
  <c r="N48" i="36"/>
  <c r="L48" i="36"/>
  <c r="B48" i="36"/>
  <c r="Z47" i="36"/>
  <c r="X47" i="36"/>
  <c r="N47" i="36"/>
  <c r="L47" i="36"/>
  <c r="J47" i="36"/>
  <c r="B47" i="36"/>
  <c r="X46" i="36"/>
  <c r="Z46" i="36" s="1"/>
  <c r="L46" i="36"/>
  <c r="N46" i="36" s="1"/>
  <c r="B46" i="36"/>
  <c r="Z45" i="36"/>
  <c r="X45" i="36"/>
  <c r="N45" i="36"/>
  <c r="L45" i="36"/>
  <c r="B45" i="36"/>
  <c r="X44" i="36"/>
  <c r="Z44" i="36" s="1"/>
  <c r="L44" i="36"/>
  <c r="N44" i="36" s="1"/>
  <c r="B44" i="36"/>
  <c r="Z43" i="36"/>
  <c r="X43" i="36"/>
  <c r="V43" i="36"/>
  <c r="N43" i="36"/>
  <c r="L43" i="36"/>
  <c r="B43" i="36"/>
  <c r="Z42" i="36"/>
  <c r="X42" i="36"/>
  <c r="N42" i="36"/>
  <c r="L42" i="36"/>
  <c r="B42" i="36"/>
  <c r="Z41" i="36"/>
  <c r="X41" i="36"/>
  <c r="N41" i="36"/>
  <c r="L41" i="36"/>
  <c r="B41" i="36"/>
  <c r="X40" i="36"/>
  <c r="Z40" i="36" s="1"/>
  <c r="L40" i="36"/>
  <c r="N40" i="36" s="1"/>
  <c r="F40" i="36"/>
  <c r="B40" i="36"/>
  <c r="T39" i="36"/>
  <c r="P39" i="36"/>
  <c r="X39" i="36" s="1"/>
  <c r="Z39" i="36" s="1"/>
  <c r="N39" i="36"/>
  <c r="L39" i="36"/>
  <c r="H39" i="36"/>
  <c r="D39" i="36"/>
  <c r="B39" i="36"/>
  <c r="X38" i="36"/>
  <c r="Z38" i="36" s="1"/>
  <c r="L38" i="36"/>
  <c r="N38" i="36" s="1"/>
  <c r="B38" i="36"/>
  <c r="Z37" i="36"/>
  <c r="X37" i="36"/>
  <c r="N37" i="36"/>
  <c r="L37" i="36"/>
  <c r="B37" i="36"/>
  <c r="Z36" i="36"/>
  <c r="X36" i="36"/>
  <c r="L36" i="36"/>
  <c r="N36" i="36" s="1"/>
  <c r="F36" i="36"/>
  <c r="B36" i="36"/>
  <c r="Z35" i="36"/>
  <c r="X35" i="36"/>
  <c r="N35" i="36"/>
  <c r="L35" i="36"/>
  <c r="J35" i="36"/>
  <c r="B35" i="36"/>
  <c r="Z34" i="36"/>
  <c r="X34" i="36"/>
  <c r="N34" i="36"/>
  <c r="L34" i="36"/>
  <c r="B34" i="36"/>
  <c r="Z33" i="36"/>
  <c r="X33" i="36"/>
  <c r="V33" i="36"/>
  <c r="N33" i="36"/>
  <c r="L33" i="36"/>
  <c r="B33" i="36"/>
  <c r="X32" i="36"/>
  <c r="Z32" i="36" s="1"/>
  <c r="N32" i="36"/>
  <c r="L32" i="36"/>
  <c r="B32" i="36"/>
  <c r="Z31" i="36"/>
  <c r="X31" i="36"/>
  <c r="V31" i="36"/>
  <c r="N31" i="36"/>
  <c r="L31" i="36"/>
  <c r="B31" i="36"/>
  <c r="X30" i="36"/>
  <c r="Z30" i="36" s="1"/>
  <c r="L30" i="36"/>
  <c r="N30" i="36" s="1"/>
  <c r="B30" i="36"/>
  <c r="Z29" i="36"/>
  <c r="X29" i="36"/>
  <c r="N29" i="36"/>
  <c r="L29" i="36"/>
  <c r="B29" i="36"/>
  <c r="T28" i="36"/>
  <c r="P28" i="36"/>
  <c r="X28" i="36" s="1"/>
  <c r="L28" i="36"/>
  <c r="N28" i="36" s="1"/>
  <c r="H28" i="36"/>
  <c r="D28" i="36"/>
  <c r="B28" i="36"/>
  <c r="T27" i="36" a="1"/>
  <c r="T27" i="36" s="1"/>
  <c r="P27" i="36" a="1"/>
  <c r="P27" i="36" s="1"/>
  <c r="J27" i="36"/>
  <c r="H27" i="36" a="1"/>
  <c r="H27" i="36" s="1"/>
  <c r="D27" i="36" a="1"/>
  <c r="D27" i="36" s="1"/>
  <c r="L27" i="36" s="1"/>
  <c r="Z23" i="36"/>
  <c r="X23" i="36"/>
  <c r="V23" i="36"/>
  <c r="N23" i="36"/>
  <c r="L23" i="36"/>
  <c r="J23" i="36"/>
  <c r="B23" i="36"/>
  <c r="Z22" i="36"/>
  <c r="X22" i="36"/>
  <c r="N22" i="36"/>
  <c r="L22" i="36"/>
  <c r="B22" i="36"/>
  <c r="Z21" i="36"/>
  <c r="X21" i="36"/>
  <c r="V21" i="36"/>
  <c r="N21" i="36"/>
  <c r="L21" i="36"/>
  <c r="B21" i="36"/>
  <c r="T20" i="36"/>
  <c r="P20" i="36"/>
  <c r="H20" i="36"/>
  <c r="D20" i="36"/>
  <c r="L20" i="36" s="1"/>
  <c r="Z18" i="36"/>
  <c r="X18" i="36"/>
  <c r="P18" i="36"/>
  <c r="N18" i="36"/>
  <c r="D18" i="36"/>
  <c r="L18" i="36" s="1"/>
  <c r="B18" i="36"/>
  <c r="Z17" i="36"/>
  <c r="X17" i="36"/>
  <c r="P17" i="36"/>
  <c r="N17" i="36"/>
  <c r="L17" i="36"/>
  <c r="D17" i="36"/>
  <c r="B17" i="36"/>
  <c r="X16" i="36"/>
  <c r="Z16" i="36" s="1"/>
  <c r="P16" i="36"/>
  <c r="D16" i="36"/>
  <c r="L16" i="36" s="1"/>
  <c r="N16" i="36" s="1"/>
  <c r="B16" i="36"/>
  <c r="Z15" i="36"/>
  <c r="P15" i="36"/>
  <c r="N15" i="36"/>
  <c r="L15" i="36"/>
  <c r="D15" i="36"/>
  <c r="B15" i="36"/>
  <c r="Z14" i="36"/>
  <c r="X14" i="36"/>
  <c r="P14" i="36"/>
  <c r="N14" i="36"/>
  <c r="L14" i="36"/>
  <c r="D14" i="36"/>
  <c r="B14" i="36"/>
  <c r="P13" i="36"/>
  <c r="X13" i="36" s="1"/>
  <c r="Z13" i="36" s="1"/>
  <c r="L13" i="36"/>
  <c r="N13" i="36" s="1"/>
  <c r="D13" i="36"/>
  <c r="D12" i="36" s="1"/>
  <c r="B13" i="36"/>
  <c r="T12" i="36"/>
  <c r="V102" i="36" s="1"/>
  <c r="L12" i="36"/>
  <c r="H12" i="36"/>
  <c r="D4" i="36"/>
  <c r="B39" i="35"/>
  <c r="B38" i="35"/>
  <c r="T34" i="35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9" i="35" s="1"/>
  <c r="P12" i="35"/>
  <c r="R36" i="35" s="1"/>
  <c r="H12" i="35"/>
  <c r="J20" i="35" s="1"/>
  <c r="D12" i="35"/>
  <c r="F20" i="35" s="1"/>
  <c r="D5" i="35"/>
  <c r="D4" i="35"/>
  <c r="X131" i="34"/>
  <c r="Z131" i="34" s="1"/>
  <c r="N131" i="34"/>
  <c r="L131" i="34"/>
  <c r="Z127" i="34"/>
  <c r="X127" i="34"/>
  <c r="P127" i="34"/>
  <c r="N127" i="34"/>
  <c r="D127" i="34"/>
  <c r="L127" i="34" s="1"/>
  <c r="B127" i="34"/>
  <c r="P126" i="34"/>
  <c r="X126" i="34" s="1"/>
  <c r="Z126" i="34" s="1"/>
  <c r="N126" i="34"/>
  <c r="L126" i="34"/>
  <c r="D126" i="34"/>
  <c r="B126" i="34"/>
  <c r="X125" i="34"/>
  <c r="Z125" i="34" s="1"/>
  <c r="P125" i="34"/>
  <c r="N125" i="34"/>
  <c r="D125" i="34"/>
  <c r="B125" i="34"/>
  <c r="T124" i="34"/>
  <c r="N124" i="34"/>
  <c r="H124" i="34"/>
  <c r="Z122" i="34"/>
  <c r="X122" i="34"/>
  <c r="V122" i="34"/>
  <c r="N122" i="34"/>
  <c r="L122" i="34"/>
  <c r="B122" i="34"/>
  <c r="X121" i="34"/>
  <c r="T121" i="34"/>
  <c r="Z121" i="34" s="1"/>
  <c r="P121" i="34"/>
  <c r="H121" i="34"/>
  <c r="D121" i="34"/>
  <c r="B121" i="34"/>
  <c r="Z120" i="34"/>
  <c r="X120" i="34"/>
  <c r="N120" i="34"/>
  <c r="L120" i="34"/>
  <c r="B120" i="34"/>
  <c r="X119" i="34"/>
  <c r="Z119" i="34" s="1"/>
  <c r="N119" i="34"/>
  <c r="L119" i="34"/>
  <c r="B119" i="34"/>
  <c r="T118" i="34"/>
  <c r="P118" i="34"/>
  <c r="X118" i="34" s="1"/>
  <c r="H118" i="34"/>
  <c r="D118" i="34"/>
  <c r="L118" i="34" s="1"/>
  <c r="N118" i="34" s="1"/>
  <c r="B118" i="34"/>
  <c r="Z117" i="34"/>
  <c r="X117" i="34"/>
  <c r="N117" i="34"/>
  <c r="L117" i="34"/>
  <c r="B117" i="34"/>
  <c r="Z116" i="34"/>
  <c r="T116" i="34"/>
  <c r="P116" i="34"/>
  <c r="X116" i="34" s="1"/>
  <c r="N116" i="34"/>
  <c r="L116" i="34"/>
  <c r="H116" i="34"/>
  <c r="D116" i="34"/>
  <c r="B116" i="34"/>
  <c r="Z115" i="34"/>
  <c r="X115" i="34"/>
  <c r="L115" i="34"/>
  <c r="N115" i="34" s="1"/>
  <c r="B115" i="34"/>
  <c r="Z114" i="34"/>
  <c r="X114" i="34"/>
  <c r="T114" i="34"/>
  <c r="P114" i="34"/>
  <c r="L114" i="34"/>
  <c r="N114" i="34" s="1"/>
  <c r="H114" i="34"/>
  <c r="D114" i="34"/>
  <c r="B114" i="34"/>
  <c r="X113" i="34"/>
  <c r="Z113" i="34" s="1"/>
  <c r="L113" i="34"/>
  <c r="N113" i="34" s="1"/>
  <c r="B113" i="34"/>
  <c r="Z112" i="34"/>
  <c r="X112" i="34"/>
  <c r="N112" i="34"/>
  <c r="L112" i="34"/>
  <c r="B112" i="34"/>
  <c r="Z111" i="34"/>
  <c r="X111" i="34"/>
  <c r="L111" i="34"/>
  <c r="N111" i="34" s="1"/>
  <c r="B111" i="34"/>
  <c r="Z110" i="34"/>
  <c r="X110" i="34"/>
  <c r="N110" i="34"/>
  <c r="L110" i="34"/>
  <c r="B110" i="34"/>
  <c r="X109" i="34"/>
  <c r="Z109" i="34" s="1"/>
  <c r="L109" i="34"/>
  <c r="N109" i="34" s="1"/>
  <c r="B109" i="34"/>
  <c r="Z108" i="34"/>
  <c r="X108" i="34"/>
  <c r="N108" i="34"/>
  <c r="L108" i="34"/>
  <c r="B108" i="34"/>
  <c r="T107" i="34"/>
  <c r="P107" i="34"/>
  <c r="L107" i="34"/>
  <c r="H107" i="34"/>
  <c r="N107" i="34" s="1"/>
  <c r="D107" i="34"/>
  <c r="B107" i="34"/>
  <c r="Z106" i="34"/>
  <c r="X106" i="34"/>
  <c r="N106" i="34"/>
  <c r="L106" i="34"/>
  <c r="B106" i="34"/>
  <c r="X105" i="34"/>
  <c r="Z105" i="34" s="1"/>
  <c r="N105" i="34"/>
  <c r="L105" i="34"/>
  <c r="B105" i="34"/>
  <c r="Z104" i="34"/>
  <c r="T104" i="34"/>
  <c r="P104" i="34"/>
  <c r="X104" i="34" s="1"/>
  <c r="N104" i="34"/>
  <c r="L104" i="34"/>
  <c r="H104" i="34"/>
  <c r="D104" i="34"/>
  <c r="B104" i="34"/>
  <c r="Z103" i="34"/>
  <c r="X103" i="34"/>
  <c r="N103" i="34"/>
  <c r="L103" i="34"/>
  <c r="B103" i="34"/>
  <c r="Z102" i="34"/>
  <c r="X102" i="34"/>
  <c r="N102" i="34"/>
  <c r="L102" i="34"/>
  <c r="B102" i="34"/>
  <c r="Z101" i="34"/>
  <c r="X101" i="34"/>
  <c r="N101" i="34"/>
  <c r="L101" i="34"/>
  <c r="B101" i="34"/>
  <c r="T100" i="34"/>
  <c r="P100" i="34"/>
  <c r="X100" i="34" s="1"/>
  <c r="Z100" i="34" s="1"/>
  <c r="L100" i="34"/>
  <c r="N100" i="34" s="1"/>
  <c r="H100" i="34"/>
  <c r="D100" i="34"/>
  <c r="B100" i="34"/>
  <c r="Z99" i="34"/>
  <c r="X99" i="34"/>
  <c r="L99" i="34"/>
  <c r="N99" i="34" s="1"/>
  <c r="B99" i="34"/>
  <c r="Z98" i="34"/>
  <c r="X98" i="34"/>
  <c r="N98" i="34"/>
  <c r="L98" i="34"/>
  <c r="B98" i="34"/>
  <c r="X97" i="34"/>
  <c r="Z97" i="34" s="1"/>
  <c r="L97" i="34"/>
  <c r="N97" i="34" s="1"/>
  <c r="B97" i="34"/>
  <c r="Z96" i="34"/>
  <c r="T96" i="34"/>
  <c r="P96" i="34"/>
  <c r="X96" i="34" s="1"/>
  <c r="L96" i="34"/>
  <c r="N96" i="34" s="1"/>
  <c r="H96" i="34"/>
  <c r="D96" i="34"/>
  <c r="B96" i="34"/>
  <c r="Z95" i="34"/>
  <c r="X95" i="34"/>
  <c r="N95" i="34"/>
  <c r="L95" i="34"/>
  <c r="B95" i="34"/>
  <c r="Z94" i="34"/>
  <c r="X94" i="34"/>
  <c r="L94" i="34"/>
  <c r="N94" i="34" s="1"/>
  <c r="B94" i="34"/>
  <c r="Z93" i="34"/>
  <c r="X93" i="34"/>
  <c r="T93" i="34"/>
  <c r="P93" i="34"/>
  <c r="H93" i="34"/>
  <c r="D93" i="34"/>
  <c r="B93" i="34"/>
  <c r="X92" i="34"/>
  <c r="Z92" i="34" s="1"/>
  <c r="N92" i="34"/>
  <c r="L92" i="34"/>
  <c r="B92" i="34"/>
  <c r="T91" i="34"/>
  <c r="P91" i="34"/>
  <c r="N91" i="34"/>
  <c r="L91" i="34"/>
  <c r="H91" i="34"/>
  <c r="D91" i="34"/>
  <c r="B91" i="34"/>
  <c r="X90" i="34"/>
  <c r="Z90" i="34" s="1"/>
  <c r="N90" i="34"/>
  <c r="L90" i="34"/>
  <c r="B90" i="34"/>
  <c r="X89" i="34"/>
  <c r="T89" i="34"/>
  <c r="P89" i="34"/>
  <c r="H89" i="34"/>
  <c r="N89" i="34" s="1"/>
  <c r="D89" i="34"/>
  <c r="L89" i="34" s="1"/>
  <c r="B89" i="34"/>
  <c r="Z88" i="34"/>
  <c r="X88" i="34"/>
  <c r="L88" i="34"/>
  <c r="N88" i="34" s="1"/>
  <c r="B88" i="34"/>
  <c r="T87" i="34"/>
  <c r="P87" i="34"/>
  <c r="X87" i="34" s="1"/>
  <c r="H87" i="34"/>
  <c r="D87" i="34"/>
  <c r="L87" i="34" s="1"/>
  <c r="N87" i="34" s="1"/>
  <c r="B87" i="34"/>
  <c r="Z86" i="34"/>
  <c r="X86" i="34"/>
  <c r="L86" i="34"/>
  <c r="N86" i="34" s="1"/>
  <c r="B86" i="34"/>
  <c r="T85" i="34"/>
  <c r="P85" i="34"/>
  <c r="X85" i="34" s="1"/>
  <c r="Z85" i="34" s="1"/>
  <c r="L85" i="34"/>
  <c r="H85" i="34"/>
  <c r="D85" i="34"/>
  <c r="B85" i="34"/>
  <c r="Z84" i="34"/>
  <c r="X84" i="34"/>
  <c r="N84" i="34"/>
  <c r="L84" i="34"/>
  <c r="B84" i="34"/>
  <c r="X83" i="34"/>
  <c r="Z83" i="34" s="1"/>
  <c r="N83" i="34"/>
  <c r="L83" i="34"/>
  <c r="B83" i="34"/>
  <c r="Z82" i="34"/>
  <c r="X82" i="34"/>
  <c r="T82" i="34"/>
  <c r="P82" i="34"/>
  <c r="N82" i="34"/>
  <c r="J82" i="34"/>
  <c r="H82" i="34"/>
  <c r="D82" i="34"/>
  <c r="L82" i="34" s="1"/>
  <c r="B82" i="34"/>
  <c r="Z81" i="34"/>
  <c r="X81" i="34"/>
  <c r="N81" i="34"/>
  <c r="L81" i="34"/>
  <c r="B81" i="34"/>
  <c r="Z80" i="34"/>
  <c r="X80" i="34"/>
  <c r="V80" i="34"/>
  <c r="N80" i="34"/>
  <c r="L80" i="34"/>
  <c r="B80" i="34"/>
  <c r="X79" i="34"/>
  <c r="T79" i="34"/>
  <c r="P79" i="34"/>
  <c r="H79" i="34"/>
  <c r="D79" i="34"/>
  <c r="B79" i="34"/>
  <c r="Z78" i="34"/>
  <c r="X78" i="34"/>
  <c r="N78" i="34"/>
  <c r="L78" i="34"/>
  <c r="B78" i="34"/>
  <c r="T77" i="34"/>
  <c r="P77" i="34"/>
  <c r="H77" i="34"/>
  <c r="N77" i="34" s="1"/>
  <c r="D77" i="34"/>
  <c r="L77" i="34" s="1"/>
  <c r="B77" i="34"/>
  <c r="Z76" i="34"/>
  <c r="X76" i="34"/>
  <c r="N76" i="34"/>
  <c r="L76" i="34"/>
  <c r="J76" i="34"/>
  <c r="B76" i="34"/>
  <c r="T75" i="34"/>
  <c r="P75" i="34"/>
  <c r="X75" i="34" s="1"/>
  <c r="H75" i="34"/>
  <c r="D75" i="34"/>
  <c r="L75" i="34" s="1"/>
  <c r="N75" i="34" s="1"/>
  <c r="B75" i="34"/>
  <c r="Z74" i="34"/>
  <c r="X74" i="34"/>
  <c r="N74" i="34"/>
  <c r="L74" i="34"/>
  <c r="B74" i="34"/>
  <c r="Z73" i="34"/>
  <c r="X73" i="34"/>
  <c r="N73" i="34"/>
  <c r="L73" i="34"/>
  <c r="B73" i="34"/>
  <c r="Z72" i="34"/>
  <c r="T72" i="34"/>
  <c r="P72" i="34"/>
  <c r="X72" i="34" s="1"/>
  <c r="N72" i="34"/>
  <c r="L72" i="34"/>
  <c r="H72" i="34"/>
  <c r="D72" i="34"/>
  <c r="B72" i="34"/>
  <c r="X71" i="34"/>
  <c r="Z71" i="34" s="1"/>
  <c r="L71" i="34"/>
  <c r="N71" i="34" s="1"/>
  <c r="B71" i="34"/>
  <c r="Z70" i="34"/>
  <c r="X70" i="34"/>
  <c r="T70" i="34"/>
  <c r="P70" i="34"/>
  <c r="J70" i="34"/>
  <c r="H70" i="34"/>
  <c r="L70" i="34" s="1"/>
  <c r="N70" i="34" s="1"/>
  <c r="D70" i="34"/>
  <c r="B70" i="34"/>
  <c r="X69" i="34"/>
  <c r="Z69" i="34" s="1"/>
  <c r="N69" i="34"/>
  <c r="L69" i="34"/>
  <c r="B69" i="34"/>
  <c r="T68" i="34"/>
  <c r="P68" i="34"/>
  <c r="X68" i="34" s="1"/>
  <c r="Z68" i="34" s="1"/>
  <c r="H68" i="34"/>
  <c r="D68" i="34"/>
  <c r="L68" i="34" s="1"/>
  <c r="N68" i="34" s="1"/>
  <c r="B68" i="34"/>
  <c r="X67" i="34"/>
  <c r="Z67" i="34" s="1"/>
  <c r="L67" i="34"/>
  <c r="N67" i="34" s="1"/>
  <c r="B67" i="34"/>
  <c r="T66" i="34"/>
  <c r="P66" i="34"/>
  <c r="X66" i="34" s="1"/>
  <c r="Z66" i="34" s="1"/>
  <c r="H66" i="34"/>
  <c r="L66" i="34" s="1"/>
  <c r="N66" i="34" s="1"/>
  <c r="D66" i="34"/>
  <c r="B66" i="34"/>
  <c r="Z65" i="34"/>
  <c r="X65" i="34"/>
  <c r="N65" i="34"/>
  <c r="L65" i="34"/>
  <c r="B65" i="34"/>
  <c r="Z64" i="34"/>
  <c r="X64" i="34"/>
  <c r="N64" i="34"/>
  <c r="L64" i="34"/>
  <c r="J64" i="34"/>
  <c r="B64" i="34"/>
  <c r="X63" i="34"/>
  <c r="Z63" i="34" s="1"/>
  <c r="L63" i="34"/>
  <c r="N63" i="34" s="1"/>
  <c r="B63" i="34"/>
  <c r="Z62" i="34"/>
  <c r="X62" i="34"/>
  <c r="N62" i="34"/>
  <c r="L62" i="34"/>
  <c r="B62" i="34"/>
  <c r="Z61" i="34"/>
  <c r="X61" i="34"/>
  <c r="R61" i="34"/>
  <c r="N61" i="34"/>
  <c r="L61" i="34"/>
  <c r="B61" i="34"/>
  <c r="Z60" i="34"/>
  <c r="X60" i="34"/>
  <c r="N60" i="34"/>
  <c r="L60" i="34"/>
  <c r="B60" i="34"/>
  <c r="X59" i="34"/>
  <c r="Z59" i="34" s="1"/>
  <c r="L59" i="34"/>
  <c r="N59" i="34" s="1"/>
  <c r="B59" i="34"/>
  <c r="Z58" i="34"/>
  <c r="X58" i="34"/>
  <c r="N58" i="34"/>
  <c r="L58" i="34"/>
  <c r="B58" i="34"/>
  <c r="Z57" i="34"/>
  <c r="X57" i="34"/>
  <c r="L57" i="34"/>
  <c r="N57" i="34" s="1"/>
  <c r="B57" i="34"/>
  <c r="Z56" i="34"/>
  <c r="X56" i="34"/>
  <c r="N56" i="34"/>
  <c r="L56" i="34"/>
  <c r="J56" i="34"/>
  <c r="B56" i="34"/>
  <c r="T55" i="34"/>
  <c r="P55" i="34"/>
  <c r="X55" i="34" s="1"/>
  <c r="H55" i="34"/>
  <c r="D55" i="34"/>
  <c r="L55" i="34" s="1"/>
  <c r="N55" i="34" s="1"/>
  <c r="B55" i="34"/>
  <c r="Z54" i="34"/>
  <c r="X54" i="34"/>
  <c r="N54" i="34"/>
  <c r="L54" i="34"/>
  <c r="B54" i="34"/>
  <c r="Z53" i="34"/>
  <c r="X53" i="34"/>
  <c r="L53" i="34"/>
  <c r="N53" i="34" s="1"/>
  <c r="B53" i="34"/>
  <c r="Z52" i="34"/>
  <c r="X52" i="34"/>
  <c r="N52" i="34"/>
  <c r="L52" i="34"/>
  <c r="J52" i="34"/>
  <c r="B52" i="34"/>
  <c r="Z51" i="34"/>
  <c r="X51" i="34"/>
  <c r="N51" i="34"/>
  <c r="L51" i="34"/>
  <c r="B51" i="34"/>
  <c r="Z50" i="34"/>
  <c r="X50" i="34"/>
  <c r="N50" i="34"/>
  <c r="L50" i="34"/>
  <c r="B50" i="34"/>
  <c r="X49" i="34"/>
  <c r="Z49" i="34" s="1"/>
  <c r="N49" i="34"/>
  <c r="L49" i="34"/>
  <c r="B49" i="34"/>
  <c r="Z48" i="34"/>
  <c r="X48" i="34"/>
  <c r="V48" i="34"/>
  <c r="N48" i="34"/>
  <c r="L48" i="34"/>
  <c r="B48" i="34"/>
  <c r="X47" i="34"/>
  <c r="Z47" i="34" s="1"/>
  <c r="L47" i="34"/>
  <c r="N47" i="34" s="1"/>
  <c r="B47" i="34"/>
  <c r="Z46" i="34"/>
  <c r="X46" i="34"/>
  <c r="N46" i="34"/>
  <c r="L46" i="34"/>
  <c r="B46" i="34"/>
  <c r="T45" i="34"/>
  <c r="P45" i="34"/>
  <c r="X45" i="34" s="1"/>
  <c r="Z45" i="34" s="1"/>
  <c r="L45" i="34"/>
  <c r="H45" i="34"/>
  <c r="D45" i="34"/>
  <c r="B45" i="34"/>
  <c r="T44" i="34" a="1"/>
  <c r="T44" i="34" s="1"/>
  <c r="P44" i="34" a="1"/>
  <c r="P44" i="34" s="1"/>
  <c r="J44" i="34"/>
  <c r="H44" i="34" a="1"/>
  <c r="H44" i="34" s="1"/>
  <c r="D44" i="34" a="1"/>
  <c r="D44" i="34" s="1"/>
  <c r="Z40" i="34"/>
  <c r="X40" i="34"/>
  <c r="N40" i="34"/>
  <c r="L40" i="34"/>
  <c r="J40" i="34"/>
  <c r="B40" i="34"/>
  <c r="Z39" i="34"/>
  <c r="X39" i="34"/>
  <c r="N39" i="34"/>
  <c r="L39" i="34"/>
  <c r="B39" i="34"/>
  <c r="Z38" i="34"/>
  <c r="X38" i="34"/>
  <c r="N38" i="34"/>
  <c r="L38" i="34"/>
  <c r="B38" i="34"/>
  <c r="Z37" i="34"/>
  <c r="X37" i="34"/>
  <c r="N37" i="34"/>
  <c r="L37" i="34"/>
  <c r="B37" i="34"/>
  <c r="Z36" i="34"/>
  <c r="X36" i="34"/>
  <c r="N36" i="34"/>
  <c r="L36" i="34"/>
  <c r="B36" i="34"/>
  <c r="Z35" i="34"/>
  <c r="X35" i="34"/>
  <c r="N35" i="34"/>
  <c r="L35" i="34"/>
  <c r="B35" i="34"/>
  <c r="Z34" i="34"/>
  <c r="X34" i="34"/>
  <c r="N34" i="34"/>
  <c r="L34" i="34"/>
  <c r="B34" i="34"/>
  <c r="Z33" i="34"/>
  <c r="X33" i="34"/>
  <c r="N33" i="34"/>
  <c r="L33" i="34"/>
  <c r="B33" i="34"/>
  <c r="Z32" i="34"/>
  <c r="X32" i="34"/>
  <c r="N32" i="34"/>
  <c r="L32" i="34"/>
  <c r="J32" i="34"/>
  <c r="B32" i="34"/>
  <c r="Z31" i="34"/>
  <c r="X31" i="34"/>
  <c r="N31" i="34"/>
  <c r="L31" i="34"/>
  <c r="B31" i="34"/>
  <c r="Z30" i="34"/>
  <c r="X30" i="34"/>
  <c r="N30" i="34"/>
  <c r="L30" i="34"/>
  <c r="B30" i="34"/>
  <c r="Z29" i="34"/>
  <c r="X29" i="34"/>
  <c r="R29" i="34"/>
  <c r="N29" i="34"/>
  <c r="L29" i="34"/>
  <c r="B29" i="34"/>
  <c r="Z28" i="34"/>
  <c r="X28" i="34"/>
  <c r="N28" i="34"/>
  <c r="L28" i="34"/>
  <c r="B28" i="34"/>
  <c r="Z27" i="34"/>
  <c r="X27" i="34"/>
  <c r="N27" i="34"/>
  <c r="L27" i="34"/>
  <c r="B27" i="34"/>
  <c r="Z26" i="34"/>
  <c r="X26" i="34"/>
  <c r="N26" i="34"/>
  <c r="L26" i="34"/>
  <c r="B26" i="34"/>
  <c r="Z25" i="34"/>
  <c r="X25" i="34"/>
  <c r="N25" i="34"/>
  <c r="L25" i="34"/>
  <c r="B25" i="34"/>
  <c r="Z24" i="34"/>
  <c r="X24" i="34"/>
  <c r="N24" i="34"/>
  <c r="L24" i="34"/>
  <c r="J24" i="34"/>
  <c r="B24" i="34"/>
  <c r="Z23" i="34"/>
  <c r="X23" i="34"/>
  <c r="N23" i="34"/>
  <c r="L23" i="34"/>
  <c r="B23" i="34"/>
  <c r="Z22" i="34"/>
  <c r="X22" i="34"/>
  <c r="N22" i="34"/>
  <c r="L22" i="34"/>
  <c r="B22" i="34"/>
  <c r="Z21" i="34"/>
  <c r="X21" i="34"/>
  <c r="N21" i="34"/>
  <c r="L21" i="34"/>
  <c r="B21" i="34"/>
  <c r="Z20" i="34"/>
  <c r="X20" i="34"/>
  <c r="N20" i="34"/>
  <c r="L20" i="34"/>
  <c r="B20" i="34"/>
  <c r="X19" i="34"/>
  <c r="T19" i="34"/>
  <c r="P19" i="34"/>
  <c r="H19" i="34"/>
  <c r="D19" i="34"/>
  <c r="Z17" i="34"/>
  <c r="X17" i="34"/>
  <c r="P17" i="34"/>
  <c r="N17" i="34"/>
  <c r="D17" i="34"/>
  <c r="L17" i="34" s="1"/>
  <c r="B17" i="34"/>
  <c r="Z16" i="34"/>
  <c r="P16" i="34"/>
  <c r="P12" i="34" s="1"/>
  <c r="R69" i="34" s="1"/>
  <c r="N16" i="34"/>
  <c r="L16" i="34"/>
  <c r="D16" i="34"/>
  <c r="B16" i="34"/>
  <c r="Z15" i="34"/>
  <c r="X15" i="34"/>
  <c r="P15" i="34"/>
  <c r="N15" i="34"/>
  <c r="D15" i="34"/>
  <c r="L15" i="34" s="1"/>
  <c r="B15" i="34"/>
  <c r="Z14" i="34"/>
  <c r="X14" i="34"/>
  <c r="P14" i="34"/>
  <c r="L14" i="34"/>
  <c r="N14" i="34" s="1"/>
  <c r="D14" i="34"/>
  <c r="B14" i="34"/>
  <c r="X13" i="34"/>
  <c r="Z13" i="34" s="1"/>
  <c r="P13" i="34"/>
  <c r="D13" i="34"/>
  <c r="L13" i="34" s="1"/>
  <c r="N13" i="34" s="1"/>
  <c r="B13" i="34"/>
  <c r="T12" i="34"/>
  <c r="V44" i="34" s="1"/>
  <c r="H12" i="34"/>
  <c r="J90" i="34" s="1"/>
  <c r="D4" i="34"/>
  <c r="B39" i="33"/>
  <c r="B38" i="33"/>
  <c r="T34" i="33"/>
  <c r="P34" i="33"/>
  <c r="H34" i="33"/>
  <c r="N34" i="33" s="1"/>
  <c r="D34" i="33"/>
  <c r="T33" i="33"/>
  <c r="Z33" i="33" s="1"/>
  <c r="P33" i="33"/>
  <c r="H33" i="33"/>
  <c r="N33" i="33" s="1"/>
  <c r="D33" i="33"/>
  <c r="T29" i="33"/>
  <c r="Z29" i="33" s="1"/>
  <c r="P29" i="33"/>
  <c r="H29" i="33"/>
  <c r="D29" i="33"/>
  <c r="T25" i="33"/>
  <c r="Z25" i="33" s="1"/>
  <c r="P25" i="33"/>
  <c r="H25" i="33"/>
  <c r="N25" i="33" s="1"/>
  <c r="D25" i="33"/>
  <c r="B25" i="33"/>
  <c r="T24" i="33"/>
  <c r="Z24" i="33" s="1"/>
  <c r="P24" i="33"/>
  <c r="H24" i="33"/>
  <c r="N24" i="33" s="1"/>
  <c r="D24" i="33"/>
  <c r="T22" i="33"/>
  <c r="Z22" i="33" s="1"/>
  <c r="P22" i="33"/>
  <c r="H22" i="33"/>
  <c r="N22" i="33" s="1"/>
  <c r="D22" i="33"/>
  <c r="B22" i="33"/>
  <c r="T21" i="33"/>
  <c r="Z21" i="33" s="1"/>
  <c r="P21" i="33"/>
  <c r="H21" i="33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Z15" i="33" s="1"/>
  <c r="P15" i="33"/>
  <c r="H15" i="33"/>
  <c r="N15" i="33" s="1"/>
  <c r="D15" i="33"/>
  <c r="T13" i="33"/>
  <c r="Z13" i="33" s="1"/>
  <c r="P13" i="33"/>
  <c r="H13" i="33"/>
  <c r="N13" i="33" s="1"/>
  <c r="D13" i="33"/>
  <c r="B13" i="33"/>
  <c r="T12" i="33"/>
  <c r="P12" i="33"/>
  <c r="R34" i="33" s="1"/>
  <c r="H12" i="33"/>
  <c r="J36" i="33" s="1"/>
  <c r="D12" i="33"/>
  <c r="F18" i="33" s="1"/>
  <c r="D5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P20" i="32"/>
  <c r="H20" i="32"/>
  <c r="N20" i="32" s="1"/>
  <c r="D20" i="32"/>
  <c r="T16" i="32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24" i="32" s="1"/>
  <c r="P12" i="32"/>
  <c r="H12" i="32"/>
  <c r="J36" i="32" s="1"/>
  <c r="D12" i="32"/>
  <c r="F24" i="32" s="1"/>
  <c r="D5" i="32"/>
  <c r="D4" i="32"/>
  <c r="Z77" i="31"/>
  <c r="X77" i="31"/>
  <c r="L77" i="31"/>
  <c r="N77" i="31" s="1"/>
  <c r="X73" i="31"/>
  <c r="Z73" i="31" s="1"/>
  <c r="P73" i="31"/>
  <c r="P72" i="31" s="1"/>
  <c r="X72" i="31" s="1"/>
  <c r="N73" i="31"/>
  <c r="D73" i="31"/>
  <c r="L73" i="31" s="1"/>
  <c r="B73" i="31"/>
  <c r="Z72" i="31"/>
  <c r="T72" i="31"/>
  <c r="N72" i="31"/>
  <c r="H72" i="31"/>
  <c r="Z70" i="31"/>
  <c r="X70" i="31"/>
  <c r="N70" i="31"/>
  <c r="L70" i="31"/>
  <c r="B70" i="31"/>
  <c r="T69" i="31"/>
  <c r="P69" i="31"/>
  <c r="H69" i="31"/>
  <c r="D69" i="31"/>
  <c r="L69" i="31" s="1"/>
  <c r="B69" i="31"/>
  <c r="Z68" i="31"/>
  <c r="X68" i="31"/>
  <c r="N68" i="31"/>
  <c r="L68" i="31"/>
  <c r="B68" i="31"/>
  <c r="X67" i="31"/>
  <c r="Z67" i="31" s="1"/>
  <c r="L67" i="31"/>
  <c r="N67" i="31" s="1"/>
  <c r="B67" i="31"/>
  <c r="Z66" i="31"/>
  <c r="X66" i="31"/>
  <c r="N66" i="31"/>
  <c r="L66" i="31"/>
  <c r="B66" i="31"/>
  <c r="X65" i="31"/>
  <c r="Z65" i="31" s="1"/>
  <c r="N65" i="31"/>
  <c r="L65" i="31"/>
  <c r="B65" i="31"/>
  <c r="V64" i="31"/>
  <c r="T64" i="31"/>
  <c r="P64" i="31"/>
  <c r="X64" i="31" s="1"/>
  <c r="Z64" i="31" s="1"/>
  <c r="H64" i="31"/>
  <c r="D64" i="31"/>
  <c r="L64" i="31" s="1"/>
  <c r="N64" i="31" s="1"/>
  <c r="B64" i="31"/>
  <c r="X63" i="31"/>
  <c r="Z63" i="31" s="1"/>
  <c r="L63" i="31"/>
  <c r="N63" i="31" s="1"/>
  <c r="B63" i="31"/>
  <c r="T62" i="31"/>
  <c r="P62" i="31"/>
  <c r="X62" i="31" s="1"/>
  <c r="Z62" i="31" s="1"/>
  <c r="H62" i="31"/>
  <c r="D62" i="31"/>
  <c r="B62" i="31"/>
  <c r="Z61" i="31"/>
  <c r="X61" i="31"/>
  <c r="N61" i="31"/>
  <c r="L61" i="31"/>
  <c r="B61" i="31"/>
  <c r="Z60" i="31"/>
  <c r="X60" i="31"/>
  <c r="N60" i="31"/>
  <c r="L60" i="31"/>
  <c r="B60" i="31"/>
  <c r="X59" i="31"/>
  <c r="Z59" i="31" s="1"/>
  <c r="N59" i="31"/>
  <c r="L59" i="31"/>
  <c r="B59" i="31"/>
  <c r="T58" i="31"/>
  <c r="P58" i="31"/>
  <c r="X58" i="31" s="1"/>
  <c r="Z58" i="31" s="1"/>
  <c r="H58" i="31"/>
  <c r="D58" i="31"/>
  <c r="B58" i="31"/>
  <c r="Z57" i="31"/>
  <c r="X57" i="31"/>
  <c r="N57" i="31"/>
  <c r="L57" i="31"/>
  <c r="B57" i="31"/>
  <c r="T56" i="31"/>
  <c r="Z56" i="31" s="1"/>
  <c r="P56" i="31"/>
  <c r="N56" i="31"/>
  <c r="L56" i="31"/>
  <c r="H56" i="31"/>
  <c r="D56" i="31"/>
  <c r="B56" i="31"/>
  <c r="X55" i="31"/>
  <c r="Z55" i="31" s="1"/>
  <c r="L55" i="31"/>
  <c r="N55" i="31" s="1"/>
  <c r="B55" i="31"/>
  <c r="Z54" i="31"/>
  <c r="X54" i="31"/>
  <c r="N54" i="31"/>
  <c r="L54" i="31"/>
  <c r="B54" i="31"/>
  <c r="T53" i="31"/>
  <c r="Z53" i="31" s="1"/>
  <c r="P53" i="31"/>
  <c r="X53" i="31" s="1"/>
  <c r="L53" i="31"/>
  <c r="H53" i="31"/>
  <c r="N53" i="31" s="1"/>
  <c r="D53" i="31"/>
  <c r="B53" i="31"/>
  <c r="Z52" i="31"/>
  <c r="X52" i="31"/>
  <c r="V52" i="31"/>
  <c r="N52" i="31"/>
  <c r="L52" i="31"/>
  <c r="B52" i="31"/>
  <c r="X51" i="31"/>
  <c r="T51" i="31"/>
  <c r="P51" i="31"/>
  <c r="H51" i="31"/>
  <c r="D51" i="31"/>
  <c r="B51" i="31"/>
  <c r="Z50" i="31"/>
  <c r="X50" i="31"/>
  <c r="N50" i="31"/>
  <c r="L50" i="31"/>
  <c r="B50" i="31"/>
  <c r="T49" i="31"/>
  <c r="P49" i="31"/>
  <c r="H49" i="31"/>
  <c r="N49" i="31" s="1"/>
  <c r="D49" i="31"/>
  <c r="L49" i="31" s="1"/>
  <c r="B49" i="31"/>
  <c r="Z48" i="31"/>
  <c r="X48" i="31"/>
  <c r="N48" i="31"/>
  <c r="L48" i="31"/>
  <c r="J48" i="31"/>
  <c r="B48" i="31"/>
  <c r="T47" i="31"/>
  <c r="P47" i="31"/>
  <c r="X47" i="31" s="1"/>
  <c r="H47" i="31"/>
  <c r="N47" i="31" s="1"/>
  <c r="D47" i="31"/>
  <c r="L47" i="31" s="1"/>
  <c r="B47" i="31"/>
  <c r="Z46" i="31"/>
  <c r="X46" i="31"/>
  <c r="N46" i="31"/>
  <c r="L46" i="31"/>
  <c r="B46" i="31"/>
  <c r="Z45" i="31"/>
  <c r="X45" i="31"/>
  <c r="N45" i="31"/>
  <c r="L45" i="31"/>
  <c r="B45" i="31"/>
  <c r="Z44" i="31"/>
  <c r="X44" i="31"/>
  <c r="N44" i="31"/>
  <c r="L44" i="31"/>
  <c r="B44" i="31"/>
  <c r="X43" i="31"/>
  <c r="Z43" i="31" s="1"/>
  <c r="L43" i="31"/>
  <c r="N43" i="31" s="1"/>
  <c r="B43" i="31"/>
  <c r="Z42" i="31"/>
  <c r="X42" i="31"/>
  <c r="N42" i="31"/>
  <c r="L42" i="31"/>
  <c r="B42" i="31"/>
  <c r="Z41" i="31"/>
  <c r="X41" i="31"/>
  <c r="N41" i="31"/>
  <c r="L41" i="31"/>
  <c r="B41" i="31"/>
  <c r="Z40" i="31"/>
  <c r="X40" i="31"/>
  <c r="V40" i="31"/>
  <c r="N40" i="31"/>
  <c r="L40" i="31"/>
  <c r="B40" i="31"/>
  <c r="Z39" i="31"/>
  <c r="X39" i="31"/>
  <c r="N39" i="31"/>
  <c r="L39" i="31"/>
  <c r="B39" i="31"/>
  <c r="Z38" i="31"/>
  <c r="X38" i="31"/>
  <c r="N38" i="31"/>
  <c r="L38" i="31"/>
  <c r="B38" i="31"/>
  <c r="Z37" i="31"/>
  <c r="X37" i="31"/>
  <c r="N37" i="31"/>
  <c r="L37" i="31"/>
  <c r="B37" i="31"/>
  <c r="T36" i="31"/>
  <c r="Z36" i="31" s="1"/>
  <c r="P36" i="31"/>
  <c r="X36" i="31" s="1"/>
  <c r="N36" i="31"/>
  <c r="L36" i="31"/>
  <c r="H36" i="31"/>
  <c r="D36" i="31"/>
  <c r="B36" i="31"/>
  <c r="X35" i="31"/>
  <c r="Z35" i="31" s="1"/>
  <c r="L35" i="31"/>
  <c r="N35" i="31" s="1"/>
  <c r="B35" i="31"/>
  <c r="Z34" i="31"/>
  <c r="X34" i="31"/>
  <c r="N34" i="31"/>
  <c r="L34" i="31"/>
  <c r="B34" i="31"/>
  <c r="Z33" i="31"/>
  <c r="X33" i="31"/>
  <c r="L33" i="31"/>
  <c r="N33" i="31" s="1"/>
  <c r="B33" i="31"/>
  <c r="Z32" i="31"/>
  <c r="X32" i="31"/>
  <c r="N32" i="31"/>
  <c r="L32" i="31"/>
  <c r="J32" i="31"/>
  <c r="B32" i="31"/>
  <c r="X31" i="31"/>
  <c r="Z31" i="31" s="1"/>
  <c r="L31" i="31"/>
  <c r="N31" i="31" s="1"/>
  <c r="B31" i="31"/>
  <c r="Z30" i="31"/>
  <c r="X30" i="31"/>
  <c r="N30" i="31"/>
  <c r="L30" i="31"/>
  <c r="B30" i="31"/>
  <c r="X29" i="31"/>
  <c r="Z29" i="31" s="1"/>
  <c r="N29" i="31"/>
  <c r="L29" i="31"/>
  <c r="B29" i="31"/>
  <c r="Z28" i="31"/>
  <c r="X28" i="31"/>
  <c r="V28" i="31"/>
  <c r="N28" i="31"/>
  <c r="L28" i="31"/>
  <c r="B28" i="31"/>
  <c r="X27" i="31"/>
  <c r="Z27" i="31" s="1"/>
  <c r="L27" i="31"/>
  <c r="N27" i="31" s="1"/>
  <c r="B27" i="31"/>
  <c r="Z26" i="31"/>
  <c r="X26" i="31"/>
  <c r="T26" i="31"/>
  <c r="P26" i="31"/>
  <c r="J26" i="31"/>
  <c r="H26" i="31"/>
  <c r="D26" i="31"/>
  <c r="L26" i="31" s="1"/>
  <c r="N26" i="31" s="1"/>
  <c r="B26" i="31"/>
  <c r="T25" i="31" a="1"/>
  <c r="T25" i="31" s="1"/>
  <c r="P25" i="31" a="1"/>
  <c r="P25" i="31"/>
  <c r="H25" i="31" a="1"/>
  <c r="H25" i="31" s="1"/>
  <c r="D25" i="31" a="1"/>
  <c r="D25" i="31"/>
  <c r="T23" i="31"/>
  <c r="Z21" i="31"/>
  <c r="X21" i="31"/>
  <c r="N21" i="31"/>
  <c r="L21" i="31"/>
  <c r="B21" i="31"/>
  <c r="Z20" i="31"/>
  <c r="X20" i="31"/>
  <c r="N20" i="31"/>
  <c r="L20" i="31"/>
  <c r="J20" i="31"/>
  <c r="B20" i="31"/>
  <c r="T19" i="31"/>
  <c r="Z19" i="31" s="1"/>
  <c r="P19" i="31"/>
  <c r="X19" i="31" s="1"/>
  <c r="H19" i="31"/>
  <c r="N19" i="31" s="1"/>
  <c r="D19" i="31"/>
  <c r="L19" i="31" s="1"/>
  <c r="Z17" i="31"/>
  <c r="X17" i="31"/>
  <c r="P17" i="31"/>
  <c r="N17" i="31"/>
  <c r="D17" i="31"/>
  <c r="L17" i="31" s="1"/>
  <c r="B17" i="31"/>
  <c r="Z16" i="31"/>
  <c r="P16" i="31"/>
  <c r="X16" i="31" s="1"/>
  <c r="N16" i="31"/>
  <c r="D16" i="31"/>
  <c r="L16" i="31" s="1"/>
  <c r="B16" i="31"/>
  <c r="Z15" i="31"/>
  <c r="X15" i="31"/>
  <c r="P15" i="31"/>
  <c r="N15" i="31"/>
  <c r="L15" i="31"/>
  <c r="D15" i="31"/>
  <c r="B15" i="31"/>
  <c r="P14" i="31"/>
  <c r="X14" i="31" s="1"/>
  <c r="Z14" i="31" s="1"/>
  <c r="L14" i="31"/>
  <c r="N14" i="31" s="1"/>
  <c r="D14" i="31"/>
  <c r="B14" i="31"/>
  <c r="X13" i="31"/>
  <c r="Z13" i="31" s="1"/>
  <c r="P13" i="31"/>
  <c r="D13" i="31"/>
  <c r="B13" i="31"/>
  <c r="T12" i="31"/>
  <c r="V55" i="31" s="1"/>
  <c r="H12" i="31"/>
  <c r="J72" i="31" s="1"/>
  <c r="D4" i="31"/>
  <c r="B39" i="30"/>
  <c r="B38" i="30"/>
  <c r="T34" i="30"/>
  <c r="Z34" i="30" s="1"/>
  <c r="P34" i="30"/>
  <c r="H34" i="30"/>
  <c r="N34" i="30" s="1"/>
  <c r="D34" i="30"/>
  <c r="T33" i="30"/>
  <c r="P33" i="30"/>
  <c r="H33" i="30"/>
  <c r="N33" i="30" s="1"/>
  <c r="D33" i="30"/>
  <c r="T29" i="30"/>
  <c r="P29" i="30"/>
  <c r="H29" i="30"/>
  <c r="N29" i="30" s="1"/>
  <c r="D29" i="30"/>
  <c r="T25" i="30"/>
  <c r="P25" i="30"/>
  <c r="H25" i="30"/>
  <c r="N25" i="30" s="1"/>
  <c r="D25" i="30"/>
  <c r="B25" i="30"/>
  <c r="T24" i="30"/>
  <c r="Z24" i="30" s="1"/>
  <c r="P24" i="30"/>
  <c r="H24" i="30"/>
  <c r="D24" i="30"/>
  <c r="T22" i="30"/>
  <c r="Z22" i="30" s="1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V20" i="30" s="1"/>
  <c r="P12" i="30"/>
  <c r="R36" i="30" s="1"/>
  <c r="H12" i="30"/>
  <c r="J16" i="30" s="1"/>
  <c r="D12" i="30"/>
  <c r="F20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24" i="29" s="1"/>
  <c r="P12" i="29"/>
  <c r="R18" i="29" s="1"/>
  <c r="H12" i="29"/>
  <c r="J20" i="29" s="1"/>
  <c r="D12" i="29"/>
  <c r="D5" i="29"/>
  <c r="D4" i="29"/>
  <c r="X126" i="28"/>
  <c r="Z126" i="28" s="1"/>
  <c r="N126" i="28"/>
  <c r="L126" i="28"/>
  <c r="Z122" i="28"/>
  <c r="X122" i="28"/>
  <c r="P122" i="28"/>
  <c r="N122" i="28"/>
  <c r="J122" i="28"/>
  <c r="D122" i="28"/>
  <c r="L122" i="28" s="1"/>
  <c r="B122" i="28"/>
  <c r="P121" i="28"/>
  <c r="X121" i="28" s="1"/>
  <c r="Z121" i="28" s="1"/>
  <c r="N121" i="28"/>
  <c r="L121" i="28"/>
  <c r="D121" i="28"/>
  <c r="B121" i="28"/>
  <c r="X120" i="28"/>
  <c r="Z120" i="28" s="1"/>
  <c r="P120" i="28"/>
  <c r="P119" i="28" s="1"/>
  <c r="X119" i="28" s="1"/>
  <c r="Z119" i="28" s="1"/>
  <c r="N120" i="28"/>
  <c r="D120" i="28"/>
  <c r="B120" i="28"/>
  <c r="T119" i="28"/>
  <c r="N119" i="28"/>
  <c r="H119" i="28"/>
  <c r="Z117" i="28"/>
  <c r="X117" i="28"/>
  <c r="V117" i="28"/>
  <c r="L117" i="28"/>
  <c r="N117" i="28" s="1"/>
  <c r="B117" i="28"/>
  <c r="X116" i="28"/>
  <c r="T116" i="28"/>
  <c r="Z116" i="28" s="1"/>
  <c r="P116" i="28"/>
  <c r="H116" i="28"/>
  <c r="D116" i="28"/>
  <c r="B116" i="28"/>
  <c r="Z115" i="28"/>
  <c r="X115" i="28"/>
  <c r="N115" i="28"/>
  <c r="L115" i="28"/>
  <c r="B115" i="28"/>
  <c r="X114" i="28"/>
  <c r="Z114" i="28" s="1"/>
  <c r="N114" i="28"/>
  <c r="L114" i="28"/>
  <c r="B114" i="28"/>
  <c r="V113" i="28"/>
  <c r="T113" i="28"/>
  <c r="P113" i="28"/>
  <c r="X113" i="28" s="1"/>
  <c r="Z113" i="28" s="1"/>
  <c r="H113" i="28"/>
  <c r="F113" i="28"/>
  <c r="D113" i="28"/>
  <c r="L113" i="28" s="1"/>
  <c r="N113" i="28" s="1"/>
  <c r="B113" i="28"/>
  <c r="Z112" i="28"/>
  <c r="X112" i="28"/>
  <c r="N112" i="28"/>
  <c r="L112" i="28"/>
  <c r="B112" i="28"/>
  <c r="Z111" i="28"/>
  <c r="T111" i="28"/>
  <c r="P111" i="28"/>
  <c r="X111" i="28" s="1"/>
  <c r="L111" i="28"/>
  <c r="H111" i="28"/>
  <c r="N111" i="28" s="1"/>
  <c r="D111" i="28"/>
  <c r="B111" i="28"/>
  <c r="Z110" i="28"/>
  <c r="X110" i="28"/>
  <c r="L110" i="28"/>
  <c r="N110" i="28" s="1"/>
  <c r="B110" i="28"/>
  <c r="X109" i="28"/>
  <c r="T109" i="28"/>
  <c r="Z109" i="28" s="1"/>
  <c r="P109" i="28"/>
  <c r="N109" i="28"/>
  <c r="L109" i="28"/>
  <c r="H109" i="28"/>
  <c r="D109" i="28"/>
  <c r="B109" i="28"/>
  <c r="X108" i="28"/>
  <c r="Z108" i="28" s="1"/>
  <c r="L108" i="28"/>
  <c r="N108" i="28" s="1"/>
  <c r="B108" i="28"/>
  <c r="Z107" i="28"/>
  <c r="X107" i="28"/>
  <c r="N107" i="28"/>
  <c r="L107" i="28"/>
  <c r="B107" i="28"/>
  <c r="Z106" i="28"/>
  <c r="X106" i="28"/>
  <c r="L106" i="28"/>
  <c r="N106" i="28" s="1"/>
  <c r="F106" i="28"/>
  <c r="B106" i="28"/>
  <c r="X105" i="28"/>
  <c r="Z105" i="28" s="1"/>
  <c r="N105" i="28"/>
  <c r="L105" i="28"/>
  <c r="J105" i="28"/>
  <c r="B105" i="28"/>
  <c r="Z104" i="28"/>
  <c r="X104" i="28"/>
  <c r="N104" i="28"/>
  <c r="L104" i="28"/>
  <c r="B104" i="28"/>
  <c r="T103" i="28"/>
  <c r="P103" i="28"/>
  <c r="X103" i="28" s="1"/>
  <c r="Z103" i="28" s="1"/>
  <c r="L103" i="28"/>
  <c r="H103" i="28"/>
  <c r="N103" i="28" s="1"/>
  <c r="D103" i="28"/>
  <c r="B103" i="28"/>
  <c r="Z102" i="28"/>
  <c r="X102" i="28"/>
  <c r="L102" i="28"/>
  <c r="N102" i="28" s="1"/>
  <c r="B102" i="28"/>
  <c r="X101" i="28"/>
  <c r="Z101" i="28" s="1"/>
  <c r="N101" i="28"/>
  <c r="L101" i="28"/>
  <c r="J101" i="28"/>
  <c r="B101" i="28"/>
  <c r="T100" i="28"/>
  <c r="Z100" i="28" s="1"/>
  <c r="P100" i="28"/>
  <c r="X100" i="28" s="1"/>
  <c r="H100" i="28"/>
  <c r="D100" i="28"/>
  <c r="L100" i="28" s="1"/>
  <c r="B100" i="28"/>
  <c r="Z99" i="28"/>
  <c r="X99" i="28"/>
  <c r="N99" i="28"/>
  <c r="L99" i="28"/>
  <c r="B99" i="28"/>
  <c r="Z98" i="28"/>
  <c r="X98" i="28"/>
  <c r="L98" i="28"/>
  <c r="N98" i="28" s="1"/>
  <c r="B98" i="28"/>
  <c r="X97" i="28"/>
  <c r="T97" i="28"/>
  <c r="Z97" i="28" s="1"/>
  <c r="P97" i="28"/>
  <c r="N97" i="28"/>
  <c r="L97" i="28"/>
  <c r="H97" i="28"/>
  <c r="D97" i="28"/>
  <c r="B97" i="28"/>
  <c r="X96" i="28"/>
  <c r="Z96" i="28" s="1"/>
  <c r="L96" i="28"/>
  <c r="N96" i="28" s="1"/>
  <c r="B96" i="28"/>
  <c r="Z95" i="28"/>
  <c r="X95" i="28"/>
  <c r="N95" i="28"/>
  <c r="L95" i="28"/>
  <c r="B95" i="28"/>
  <c r="Z94" i="28"/>
  <c r="X94" i="28"/>
  <c r="L94" i="28"/>
  <c r="N94" i="28" s="1"/>
  <c r="B94" i="28"/>
  <c r="X93" i="28"/>
  <c r="T93" i="28"/>
  <c r="Z93" i="28" s="1"/>
  <c r="P93" i="28"/>
  <c r="N93" i="28"/>
  <c r="L93" i="28"/>
  <c r="H93" i="28"/>
  <c r="D93" i="28"/>
  <c r="B93" i="28"/>
  <c r="X92" i="28"/>
  <c r="Z92" i="28" s="1"/>
  <c r="N92" i="28"/>
  <c r="L92" i="28"/>
  <c r="B92" i="28"/>
  <c r="Z91" i="28"/>
  <c r="X91" i="28"/>
  <c r="N91" i="28"/>
  <c r="L91" i="28"/>
  <c r="B91" i="28"/>
  <c r="T90" i="28"/>
  <c r="P90" i="28"/>
  <c r="X90" i="28" s="1"/>
  <c r="Z90" i="28" s="1"/>
  <c r="L90" i="28"/>
  <c r="N90" i="28" s="1"/>
  <c r="H90" i="28"/>
  <c r="D90" i="28"/>
  <c r="B90" i="28"/>
  <c r="Z89" i="28"/>
  <c r="X89" i="28"/>
  <c r="V89" i="28"/>
  <c r="L89" i="28"/>
  <c r="N89" i="28" s="1"/>
  <c r="B89" i="28"/>
  <c r="X88" i="28"/>
  <c r="Z88" i="28" s="1"/>
  <c r="T88" i="28"/>
  <c r="P88" i="28"/>
  <c r="H88" i="28"/>
  <c r="D88" i="28"/>
  <c r="B88" i="28"/>
  <c r="Z87" i="28"/>
  <c r="X87" i="28"/>
  <c r="N87" i="28"/>
  <c r="L87" i="28"/>
  <c r="B87" i="28"/>
  <c r="T86" i="28"/>
  <c r="P86" i="28"/>
  <c r="H86" i="28"/>
  <c r="N86" i="28" s="1"/>
  <c r="D86" i="28"/>
  <c r="L86" i="28" s="1"/>
  <c r="B86" i="28"/>
  <c r="X85" i="28"/>
  <c r="Z85" i="28" s="1"/>
  <c r="N85" i="28"/>
  <c r="L85" i="28"/>
  <c r="J85" i="28"/>
  <c r="B85" i="28"/>
  <c r="T84" i="28"/>
  <c r="P84" i="28"/>
  <c r="X84" i="28" s="1"/>
  <c r="H84" i="28"/>
  <c r="D84" i="28"/>
  <c r="L84" i="28" s="1"/>
  <c r="N84" i="28" s="1"/>
  <c r="B84" i="28"/>
  <c r="Z83" i="28"/>
  <c r="X83" i="28"/>
  <c r="N83" i="28"/>
  <c r="L83" i="28"/>
  <c r="B83" i="28"/>
  <c r="T82" i="28"/>
  <c r="P82" i="28"/>
  <c r="X82" i="28" s="1"/>
  <c r="Z82" i="28" s="1"/>
  <c r="L82" i="28"/>
  <c r="N82" i="28" s="1"/>
  <c r="H82" i="28"/>
  <c r="D82" i="28"/>
  <c r="B82" i="28"/>
  <c r="Z81" i="28"/>
  <c r="X81" i="28"/>
  <c r="V81" i="28"/>
  <c r="N81" i="28"/>
  <c r="L81" i="28"/>
  <c r="B81" i="28"/>
  <c r="X80" i="28"/>
  <c r="Z80" i="28" s="1"/>
  <c r="N80" i="28"/>
  <c r="L80" i="28"/>
  <c r="B80" i="28"/>
  <c r="Z79" i="28"/>
  <c r="X79" i="28"/>
  <c r="T79" i="28"/>
  <c r="P79" i="28"/>
  <c r="N79" i="28"/>
  <c r="J79" i="28"/>
  <c r="H79" i="28"/>
  <c r="D79" i="28"/>
  <c r="L79" i="28" s="1"/>
  <c r="B79" i="28"/>
  <c r="Z78" i="28"/>
  <c r="X78" i="28"/>
  <c r="N78" i="28"/>
  <c r="L78" i="28"/>
  <c r="B78" i="28"/>
  <c r="Z77" i="28"/>
  <c r="X77" i="28"/>
  <c r="V77" i="28"/>
  <c r="L77" i="28"/>
  <c r="N77" i="28" s="1"/>
  <c r="B77" i="28"/>
  <c r="X76" i="28"/>
  <c r="Z76" i="28" s="1"/>
  <c r="T76" i="28"/>
  <c r="P76" i="28"/>
  <c r="H76" i="28"/>
  <c r="D76" i="28"/>
  <c r="B76" i="28"/>
  <c r="Z75" i="28"/>
  <c r="X75" i="28"/>
  <c r="N75" i="28"/>
  <c r="L75" i="28"/>
  <c r="B75" i="28"/>
  <c r="T74" i="28"/>
  <c r="P74" i="28"/>
  <c r="H74" i="28"/>
  <c r="N74" i="28" s="1"/>
  <c r="D74" i="28"/>
  <c r="L74" i="28" s="1"/>
  <c r="B74" i="28"/>
  <c r="X73" i="28"/>
  <c r="Z73" i="28" s="1"/>
  <c r="N73" i="28"/>
  <c r="L73" i="28"/>
  <c r="J73" i="28"/>
  <c r="B73" i="28"/>
  <c r="T72" i="28"/>
  <c r="Z72" i="28" s="1"/>
  <c r="P72" i="28"/>
  <c r="X72" i="28" s="1"/>
  <c r="H72" i="28"/>
  <c r="D72" i="28"/>
  <c r="L72" i="28" s="1"/>
  <c r="B72" i="28"/>
  <c r="Z71" i="28"/>
  <c r="X71" i="28"/>
  <c r="N71" i="28"/>
  <c r="L71" i="28"/>
  <c r="B71" i="28"/>
  <c r="T70" i="28"/>
  <c r="Z70" i="28" s="1"/>
  <c r="P70" i="28"/>
  <c r="X70" i="28" s="1"/>
  <c r="N70" i="28"/>
  <c r="L70" i="28"/>
  <c r="H70" i="28"/>
  <c r="D70" i="28"/>
  <c r="B70" i="28"/>
  <c r="Z69" i="28"/>
  <c r="X69" i="28"/>
  <c r="V69" i="28"/>
  <c r="L69" i="28"/>
  <c r="N69" i="28" s="1"/>
  <c r="B69" i="28"/>
  <c r="X68" i="28"/>
  <c r="T68" i="28"/>
  <c r="P68" i="28"/>
  <c r="H68" i="28"/>
  <c r="D68" i="28"/>
  <c r="B68" i="28"/>
  <c r="Z67" i="28"/>
  <c r="X67" i="28"/>
  <c r="N67" i="28"/>
  <c r="L67" i="28"/>
  <c r="B67" i="28"/>
  <c r="T66" i="28"/>
  <c r="P66" i="28"/>
  <c r="H66" i="28"/>
  <c r="N66" i="28" s="1"/>
  <c r="D66" i="28"/>
  <c r="L66" i="28" s="1"/>
  <c r="B66" i="28"/>
  <c r="X65" i="28"/>
  <c r="Z65" i="28" s="1"/>
  <c r="N65" i="28"/>
  <c r="L65" i="28"/>
  <c r="J65" i="28"/>
  <c r="B65" i="28"/>
  <c r="T64" i="28"/>
  <c r="Z64" i="28" s="1"/>
  <c r="P64" i="28"/>
  <c r="X64" i="28" s="1"/>
  <c r="H64" i="28"/>
  <c r="D64" i="28"/>
  <c r="L64" i="28" s="1"/>
  <c r="B64" i="28"/>
  <c r="Z63" i="28"/>
  <c r="X63" i="28"/>
  <c r="N63" i="28"/>
  <c r="L63" i="28"/>
  <c r="B63" i="28"/>
  <c r="Z62" i="28"/>
  <c r="X62" i="28"/>
  <c r="N62" i="28"/>
  <c r="L62" i="28"/>
  <c r="B62" i="28"/>
  <c r="Z61" i="28"/>
  <c r="X61" i="28"/>
  <c r="N61" i="28"/>
  <c r="L61" i="28"/>
  <c r="J61" i="28"/>
  <c r="B61" i="28"/>
  <c r="X60" i="28"/>
  <c r="Z60" i="28" s="1"/>
  <c r="L60" i="28"/>
  <c r="N60" i="28" s="1"/>
  <c r="B60" i="28"/>
  <c r="Z59" i="28"/>
  <c r="X59" i="28"/>
  <c r="N59" i="28"/>
  <c r="L59" i="28"/>
  <c r="B59" i="28"/>
  <c r="Z58" i="28"/>
  <c r="X58" i="28"/>
  <c r="N58" i="28"/>
  <c r="L58" i="28"/>
  <c r="B58" i="28"/>
  <c r="Z57" i="28"/>
  <c r="X57" i="28"/>
  <c r="V57" i="28"/>
  <c r="L57" i="28"/>
  <c r="N57" i="28" s="1"/>
  <c r="B57" i="28"/>
  <c r="Z56" i="28"/>
  <c r="X56" i="28"/>
  <c r="N56" i="28"/>
  <c r="L56" i="28"/>
  <c r="B56" i="28"/>
  <c r="Z55" i="28"/>
  <c r="X55" i="28"/>
  <c r="N55" i="28"/>
  <c r="L55" i="28"/>
  <c r="B55" i="28"/>
  <c r="Z54" i="28"/>
  <c r="X54" i="28"/>
  <c r="N54" i="28"/>
  <c r="L54" i="28"/>
  <c r="B54" i="28"/>
  <c r="T53" i="28"/>
  <c r="Z53" i="28" s="1"/>
  <c r="P53" i="28"/>
  <c r="X53" i="28" s="1"/>
  <c r="N53" i="28"/>
  <c r="L53" i="28"/>
  <c r="H53" i="28"/>
  <c r="D53" i="28"/>
  <c r="B53" i="28"/>
  <c r="X52" i="28"/>
  <c r="Z52" i="28" s="1"/>
  <c r="L52" i="28"/>
  <c r="N52" i="28" s="1"/>
  <c r="B52" i="28"/>
  <c r="Z51" i="28"/>
  <c r="X51" i="28"/>
  <c r="N51" i="28"/>
  <c r="L51" i="28"/>
  <c r="B51" i="28"/>
  <c r="Z50" i="28"/>
  <c r="X50" i="28"/>
  <c r="L50" i="28"/>
  <c r="N50" i="28" s="1"/>
  <c r="F50" i="28"/>
  <c r="B50" i="28"/>
  <c r="Z49" i="28"/>
  <c r="X49" i="28"/>
  <c r="N49" i="28"/>
  <c r="L49" i="28"/>
  <c r="J49" i="28"/>
  <c r="B49" i="28"/>
  <c r="X48" i="28"/>
  <c r="Z48" i="28" s="1"/>
  <c r="L48" i="28"/>
  <c r="N48" i="28" s="1"/>
  <c r="B48" i="28"/>
  <c r="Z47" i="28"/>
  <c r="X47" i="28"/>
  <c r="N47" i="28"/>
  <c r="L47" i="28"/>
  <c r="B47" i="28"/>
  <c r="X46" i="28"/>
  <c r="Z46" i="28" s="1"/>
  <c r="N46" i="28"/>
  <c r="L46" i="28"/>
  <c r="B46" i="28"/>
  <c r="Z45" i="28"/>
  <c r="X45" i="28"/>
  <c r="V45" i="28"/>
  <c r="L45" i="28"/>
  <c r="N45" i="28" s="1"/>
  <c r="B45" i="28"/>
  <c r="X44" i="28"/>
  <c r="Z44" i="28" s="1"/>
  <c r="L44" i="28"/>
  <c r="N44" i="28" s="1"/>
  <c r="B44" i="28"/>
  <c r="Z43" i="28"/>
  <c r="X43" i="28"/>
  <c r="T43" i="28"/>
  <c r="P43" i="28"/>
  <c r="J43" i="28"/>
  <c r="H43" i="28"/>
  <c r="D43" i="28"/>
  <c r="L43" i="28" s="1"/>
  <c r="N43" i="28" s="1"/>
  <c r="B43" i="28"/>
  <c r="T42" i="28" a="1"/>
  <c r="T42" i="28" s="1"/>
  <c r="P42" i="28" a="1"/>
  <c r="P42" i="28" s="1"/>
  <c r="H42" i="28" a="1"/>
  <c r="H42" i="28" s="1"/>
  <c r="D42" i="28" a="1"/>
  <c r="D42" i="28" s="1"/>
  <c r="T40" i="28"/>
  <c r="D40" i="28"/>
  <c r="Z38" i="28"/>
  <c r="X38" i="28"/>
  <c r="N38" i="28"/>
  <c r="L38" i="28"/>
  <c r="F38" i="28"/>
  <c r="B38" i="28"/>
  <c r="Z37" i="28"/>
  <c r="X37" i="28"/>
  <c r="N37" i="28"/>
  <c r="L37" i="28"/>
  <c r="J37" i="28"/>
  <c r="B37" i="28"/>
  <c r="Z36" i="28"/>
  <c r="X36" i="28"/>
  <c r="N36" i="28"/>
  <c r="L36" i="28"/>
  <c r="B36" i="28"/>
  <c r="Z35" i="28"/>
  <c r="X35" i="28"/>
  <c r="N35" i="28"/>
  <c r="L35" i="28"/>
  <c r="B35" i="28"/>
  <c r="Z34" i="28"/>
  <c r="X34" i="28"/>
  <c r="N34" i="28"/>
  <c r="L34" i="28"/>
  <c r="B34" i="28"/>
  <c r="Z33" i="28"/>
  <c r="X33" i="28"/>
  <c r="V33" i="28"/>
  <c r="N33" i="28"/>
  <c r="L33" i="28"/>
  <c r="B33" i="28"/>
  <c r="Z32" i="28"/>
  <c r="X32" i="28"/>
  <c r="N32" i="28"/>
  <c r="L32" i="28"/>
  <c r="B32" i="28"/>
  <c r="Z31" i="28"/>
  <c r="X31" i="28"/>
  <c r="N31" i="28"/>
  <c r="L31" i="28"/>
  <c r="B31" i="28"/>
  <c r="Z30" i="28"/>
  <c r="X30" i="28"/>
  <c r="V30" i="28"/>
  <c r="N30" i="28"/>
  <c r="L30" i="28"/>
  <c r="F30" i="28"/>
  <c r="B30" i="28"/>
  <c r="Z29" i="28"/>
  <c r="X29" i="28"/>
  <c r="N29" i="28"/>
  <c r="L29" i="28"/>
  <c r="J29" i="28"/>
  <c r="B29" i="28"/>
  <c r="Z28" i="28"/>
  <c r="X28" i="28"/>
  <c r="N28" i="28"/>
  <c r="L28" i="28"/>
  <c r="B28" i="28"/>
  <c r="Z27" i="28"/>
  <c r="X27" i="28"/>
  <c r="V27" i="28"/>
  <c r="N27" i="28"/>
  <c r="L27" i="28"/>
  <c r="B27" i="28"/>
  <c r="Z26" i="28"/>
  <c r="X26" i="28"/>
  <c r="N26" i="28"/>
  <c r="L26" i="28"/>
  <c r="J26" i="28"/>
  <c r="B26" i="28"/>
  <c r="Z25" i="28"/>
  <c r="X25" i="28"/>
  <c r="V25" i="28"/>
  <c r="N25" i="28"/>
  <c r="L25" i="28"/>
  <c r="B25" i="28"/>
  <c r="Z24" i="28"/>
  <c r="X24" i="28"/>
  <c r="N24" i="28"/>
  <c r="L24" i="28"/>
  <c r="B24" i="28"/>
  <c r="Z23" i="28"/>
  <c r="X23" i="28"/>
  <c r="N23" i="28"/>
  <c r="L23" i="28"/>
  <c r="B23" i="28"/>
  <c r="Z22" i="28"/>
  <c r="X22" i="28"/>
  <c r="V22" i="28"/>
  <c r="N22" i="28"/>
  <c r="L22" i="28"/>
  <c r="B22" i="28"/>
  <c r="Z21" i="28"/>
  <c r="X21" i="28"/>
  <c r="V21" i="28"/>
  <c r="N21" i="28"/>
  <c r="L21" i="28"/>
  <c r="J21" i="28"/>
  <c r="B21" i="28"/>
  <c r="Z20" i="28"/>
  <c r="X20" i="28"/>
  <c r="L20" i="28"/>
  <c r="N20" i="28" s="1"/>
  <c r="B20" i="28"/>
  <c r="V19" i="28"/>
  <c r="T19" i="28"/>
  <c r="P19" i="28"/>
  <c r="X19" i="28" s="1"/>
  <c r="Z19" i="28" s="1"/>
  <c r="L19" i="28"/>
  <c r="H19" i="28"/>
  <c r="N19" i="28" s="1"/>
  <c r="D19" i="28"/>
  <c r="Z17" i="28"/>
  <c r="X17" i="28"/>
  <c r="P17" i="28"/>
  <c r="N17" i="28"/>
  <c r="L17" i="28"/>
  <c r="D17" i="28"/>
  <c r="B17" i="28"/>
  <c r="Z16" i="28"/>
  <c r="X16" i="28"/>
  <c r="P16" i="28"/>
  <c r="N16" i="28"/>
  <c r="L16" i="28"/>
  <c r="D16" i="28"/>
  <c r="B16" i="28"/>
  <c r="Z15" i="28"/>
  <c r="P15" i="28"/>
  <c r="N15" i="28"/>
  <c r="D15" i="28"/>
  <c r="L15" i="28" s="1"/>
  <c r="B15" i="28"/>
  <c r="Z14" i="28"/>
  <c r="X14" i="28"/>
  <c r="P14" i="28"/>
  <c r="N14" i="28"/>
  <c r="L14" i="28"/>
  <c r="D14" i="28"/>
  <c r="B14" i="28"/>
  <c r="P13" i="28"/>
  <c r="X13" i="28" s="1"/>
  <c r="Z13" i="28" s="1"/>
  <c r="L13" i="28"/>
  <c r="N13" i="28" s="1"/>
  <c r="D13" i="28"/>
  <c r="D12" i="28" s="1"/>
  <c r="F94" i="28" s="1"/>
  <c r="B13" i="28"/>
  <c r="T12" i="28"/>
  <c r="V120" i="28" s="1"/>
  <c r="L12" i="28"/>
  <c r="H12" i="28"/>
  <c r="D4" i="28"/>
  <c r="B39" i="27"/>
  <c r="B38" i="27"/>
  <c r="T34" i="27"/>
  <c r="Z34" i="27" s="1"/>
  <c r="P34" i="27"/>
  <c r="H34" i="27"/>
  <c r="D34" i="27"/>
  <c r="T33" i="27"/>
  <c r="Z33" i="27" s="1"/>
  <c r="P33" i="27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H25" i="27"/>
  <c r="N25" i="27" s="1"/>
  <c r="D25" i="27"/>
  <c r="B25" i="27"/>
  <c r="T24" i="27"/>
  <c r="Z24" i="27" s="1"/>
  <c r="P24" i="27"/>
  <c r="H24" i="27"/>
  <c r="N24" i="27" s="1"/>
  <c r="D24" i="27"/>
  <c r="T22" i="27"/>
  <c r="Z22" i="27" s="1"/>
  <c r="P22" i="27"/>
  <c r="H22" i="27"/>
  <c r="D22" i="27"/>
  <c r="B22" i="27"/>
  <c r="T21" i="27"/>
  <c r="Z21" i="27" s="1"/>
  <c r="P21" i="27"/>
  <c r="H21" i="27"/>
  <c r="N21" i="27" s="1"/>
  <c r="D21" i="27"/>
  <c r="B21" i="27"/>
  <c r="T20" i="27"/>
  <c r="Z20" i="27" s="1"/>
  <c r="P20" i="27"/>
  <c r="H20" i="27"/>
  <c r="N20" i="27" s="1"/>
  <c r="D20" i="27"/>
  <c r="T16" i="27"/>
  <c r="Z16" i="27" s="1"/>
  <c r="P16" i="27"/>
  <c r="H16" i="27"/>
  <c r="D16" i="27"/>
  <c r="B16" i="27"/>
  <c r="T15" i="27"/>
  <c r="Z15" i="27" s="1"/>
  <c r="P15" i="27"/>
  <c r="H15" i="27"/>
  <c r="N15" i="27" s="1"/>
  <c r="D15" i="27"/>
  <c r="T13" i="27"/>
  <c r="Z13" i="27" s="1"/>
  <c r="P13" i="27"/>
  <c r="H13" i="27"/>
  <c r="N13" i="27" s="1"/>
  <c r="D13" i="27"/>
  <c r="B13" i="27"/>
  <c r="T12" i="27"/>
  <c r="V34" i="27" s="1"/>
  <c r="P12" i="27"/>
  <c r="R18" i="27" s="1"/>
  <c r="H12" i="27"/>
  <c r="J20" i="27" s="1"/>
  <c r="D12" i="27"/>
  <c r="F34" i="27" s="1"/>
  <c r="D5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D33" i="26"/>
  <c r="T29" i="26"/>
  <c r="Z29" i="26" s="1"/>
  <c r="P29" i="26"/>
  <c r="H29" i="26"/>
  <c r="D29" i="26"/>
  <c r="T25" i="26"/>
  <c r="Z25" i="26" s="1"/>
  <c r="P25" i="26"/>
  <c r="H25" i="26"/>
  <c r="D25" i="26"/>
  <c r="B25" i="26"/>
  <c r="T24" i="26"/>
  <c r="Z24" i="26" s="1"/>
  <c r="P24" i="26"/>
  <c r="H24" i="26"/>
  <c r="N24" i="26" s="1"/>
  <c r="D24" i="26"/>
  <c r="T22" i="26"/>
  <c r="P22" i="26"/>
  <c r="H22" i="26"/>
  <c r="N22" i="26" s="1"/>
  <c r="D22" i="26"/>
  <c r="B22" i="26"/>
  <c r="T21" i="26"/>
  <c r="P21" i="26"/>
  <c r="H21" i="26"/>
  <c r="N21" i="26" s="1"/>
  <c r="D21" i="26"/>
  <c r="B21" i="26"/>
  <c r="T20" i="26"/>
  <c r="Z20" i="26" s="1"/>
  <c r="P20" i="26"/>
  <c r="H20" i="26"/>
  <c r="D20" i="26"/>
  <c r="T16" i="26"/>
  <c r="Z16" i="26" s="1"/>
  <c r="P16" i="26"/>
  <c r="H16" i="26"/>
  <c r="D16" i="26"/>
  <c r="B16" i="26"/>
  <c r="T15" i="26"/>
  <c r="Z15" i="26" s="1"/>
  <c r="P15" i="26"/>
  <c r="H15" i="26"/>
  <c r="D15" i="26"/>
  <c r="T13" i="26"/>
  <c r="Z13" i="26" s="1"/>
  <c r="P13" i="26"/>
  <c r="H13" i="26"/>
  <c r="N13" i="26" s="1"/>
  <c r="D13" i="26"/>
  <c r="B13" i="26"/>
  <c r="T12" i="26"/>
  <c r="P12" i="26"/>
  <c r="R18" i="26" s="1"/>
  <c r="H12" i="26"/>
  <c r="J22" i="26" s="1"/>
  <c r="D12" i="26"/>
  <c r="F36" i="26" s="1"/>
  <c r="D5" i="26"/>
  <c r="D4" i="26"/>
  <c r="Z95" i="25"/>
  <c r="X95" i="25"/>
  <c r="L95" i="25"/>
  <c r="N95" i="25" s="1"/>
  <c r="Z91" i="25"/>
  <c r="X91" i="25"/>
  <c r="P91" i="25"/>
  <c r="N91" i="25"/>
  <c r="L91" i="25"/>
  <c r="D91" i="25"/>
  <c r="B91" i="25"/>
  <c r="Z90" i="25"/>
  <c r="P90" i="25"/>
  <c r="X90" i="25" s="1"/>
  <c r="N90" i="25"/>
  <c r="L90" i="25"/>
  <c r="D90" i="25"/>
  <c r="B90" i="25"/>
  <c r="Z89" i="25"/>
  <c r="P89" i="25"/>
  <c r="X89" i="25" s="1"/>
  <c r="D89" i="25"/>
  <c r="L89" i="25" s="1"/>
  <c r="N89" i="25" s="1"/>
  <c r="B89" i="25"/>
  <c r="Z88" i="25"/>
  <c r="X88" i="25"/>
  <c r="P88" i="25"/>
  <c r="N88" i="25"/>
  <c r="D88" i="25"/>
  <c r="L88" i="25" s="1"/>
  <c r="B88" i="25"/>
  <c r="T87" i="25"/>
  <c r="P87" i="25"/>
  <c r="X87" i="25" s="1"/>
  <c r="H87" i="25"/>
  <c r="Z85" i="25"/>
  <c r="X85" i="25"/>
  <c r="N85" i="25"/>
  <c r="L85" i="25"/>
  <c r="B85" i="25"/>
  <c r="Z84" i="25"/>
  <c r="T84" i="25"/>
  <c r="P84" i="25"/>
  <c r="X84" i="25" s="1"/>
  <c r="H84" i="25"/>
  <c r="N84" i="25" s="1"/>
  <c r="D84" i="25"/>
  <c r="L84" i="25" s="1"/>
  <c r="B84" i="25"/>
  <c r="Z83" i="25"/>
  <c r="X83" i="25"/>
  <c r="N83" i="25"/>
  <c r="L83" i="25"/>
  <c r="B83" i="25"/>
  <c r="Z82" i="25"/>
  <c r="X82" i="25"/>
  <c r="N82" i="25"/>
  <c r="L82" i="25"/>
  <c r="B82" i="25"/>
  <c r="X81" i="25"/>
  <c r="Z81" i="25" s="1"/>
  <c r="T81" i="25"/>
  <c r="P81" i="25"/>
  <c r="N81" i="25"/>
  <c r="H81" i="25"/>
  <c r="L81" i="25" s="1"/>
  <c r="D81" i="25"/>
  <c r="B81" i="25"/>
  <c r="X80" i="25"/>
  <c r="Z80" i="25" s="1"/>
  <c r="N80" i="25"/>
  <c r="L80" i="25"/>
  <c r="B80" i="25"/>
  <c r="Z79" i="25"/>
  <c r="X79" i="25"/>
  <c r="N79" i="25"/>
  <c r="L79" i="25"/>
  <c r="B79" i="25"/>
  <c r="T78" i="25"/>
  <c r="P78" i="25"/>
  <c r="X78" i="25" s="1"/>
  <c r="L78" i="25"/>
  <c r="N78" i="25" s="1"/>
  <c r="H78" i="25"/>
  <c r="D78" i="25"/>
  <c r="B78" i="25"/>
  <c r="X77" i="25"/>
  <c r="Z77" i="25" s="1"/>
  <c r="N77" i="25"/>
  <c r="L77" i="25"/>
  <c r="B77" i="25"/>
  <c r="X76" i="25"/>
  <c r="Z76" i="25" s="1"/>
  <c r="N76" i="25"/>
  <c r="L76" i="25"/>
  <c r="B76" i="25"/>
  <c r="T75" i="25"/>
  <c r="X75" i="25" s="1"/>
  <c r="Z75" i="25" s="1"/>
  <c r="P75" i="25"/>
  <c r="H75" i="25"/>
  <c r="N75" i="25" s="1"/>
  <c r="D75" i="25"/>
  <c r="L75" i="25" s="1"/>
  <c r="B75" i="25"/>
  <c r="X74" i="25"/>
  <c r="Z74" i="25" s="1"/>
  <c r="N74" i="25"/>
  <c r="L74" i="25"/>
  <c r="B74" i="25"/>
  <c r="X73" i="25"/>
  <c r="Z73" i="25" s="1"/>
  <c r="L73" i="25"/>
  <c r="N73" i="25" s="1"/>
  <c r="B73" i="25"/>
  <c r="Z72" i="25"/>
  <c r="X72" i="25"/>
  <c r="N72" i="25"/>
  <c r="L72" i="25"/>
  <c r="B72" i="25"/>
  <c r="T71" i="25"/>
  <c r="P71" i="25"/>
  <c r="X71" i="25" s="1"/>
  <c r="Z71" i="25" s="1"/>
  <c r="H71" i="25"/>
  <c r="D71" i="25"/>
  <c r="L71" i="25" s="1"/>
  <c r="N71" i="25" s="1"/>
  <c r="B71" i="25"/>
  <c r="X70" i="25"/>
  <c r="Z70" i="25" s="1"/>
  <c r="N70" i="25"/>
  <c r="L70" i="25"/>
  <c r="B70" i="25"/>
  <c r="V69" i="25"/>
  <c r="T69" i="25"/>
  <c r="P69" i="25"/>
  <c r="X69" i="25" s="1"/>
  <c r="Z69" i="25" s="1"/>
  <c r="H69" i="25"/>
  <c r="D69" i="25"/>
  <c r="L69" i="25" s="1"/>
  <c r="N69" i="25" s="1"/>
  <c r="B69" i="25"/>
  <c r="Z68" i="25"/>
  <c r="X68" i="25"/>
  <c r="L68" i="25"/>
  <c r="N68" i="25" s="1"/>
  <c r="B68" i="25"/>
  <c r="T67" i="25"/>
  <c r="P67" i="25"/>
  <c r="X67" i="25" s="1"/>
  <c r="Z67" i="25" s="1"/>
  <c r="L67" i="25"/>
  <c r="H67" i="25"/>
  <c r="N67" i="25" s="1"/>
  <c r="D67" i="25"/>
  <c r="B67" i="25"/>
  <c r="Z66" i="25"/>
  <c r="X66" i="25"/>
  <c r="N66" i="25"/>
  <c r="L66" i="25"/>
  <c r="B66" i="25"/>
  <c r="X65" i="25"/>
  <c r="Z65" i="25" s="1"/>
  <c r="L65" i="25"/>
  <c r="N65" i="25" s="1"/>
  <c r="B65" i="25"/>
  <c r="Z64" i="25"/>
  <c r="T64" i="25"/>
  <c r="P64" i="25"/>
  <c r="X64" i="25" s="1"/>
  <c r="H64" i="25"/>
  <c r="N64" i="25" s="1"/>
  <c r="D64" i="25"/>
  <c r="L64" i="25" s="1"/>
  <c r="B64" i="25"/>
  <c r="Z63" i="25"/>
  <c r="X63" i="25"/>
  <c r="N63" i="25"/>
  <c r="L63" i="25"/>
  <c r="B63" i="25"/>
  <c r="T62" i="25"/>
  <c r="Z62" i="25" s="1"/>
  <c r="P62" i="25"/>
  <c r="X62" i="25" s="1"/>
  <c r="L62" i="25"/>
  <c r="N62" i="25" s="1"/>
  <c r="H62" i="25"/>
  <c r="D62" i="25"/>
  <c r="B62" i="25"/>
  <c r="X61" i="25"/>
  <c r="Z61" i="25" s="1"/>
  <c r="L61" i="25"/>
  <c r="N61" i="25" s="1"/>
  <c r="B61" i="25"/>
  <c r="X60" i="25"/>
  <c r="Z60" i="25" s="1"/>
  <c r="T60" i="25"/>
  <c r="P60" i="25"/>
  <c r="H60" i="25"/>
  <c r="D60" i="25"/>
  <c r="B60" i="25"/>
  <c r="Z59" i="25"/>
  <c r="X59" i="25"/>
  <c r="N59" i="25"/>
  <c r="L59" i="25"/>
  <c r="B59" i="25"/>
  <c r="T58" i="25"/>
  <c r="P58" i="25"/>
  <c r="N58" i="25"/>
  <c r="H58" i="25"/>
  <c r="D58" i="25"/>
  <c r="L58" i="25" s="1"/>
  <c r="B58" i="25"/>
  <c r="X57" i="25"/>
  <c r="Z57" i="25" s="1"/>
  <c r="L57" i="25"/>
  <c r="N57" i="25" s="1"/>
  <c r="B57" i="25"/>
  <c r="Z56" i="25"/>
  <c r="T56" i="25"/>
  <c r="P56" i="25"/>
  <c r="X56" i="25" s="1"/>
  <c r="H56" i="25"/>
  <c r="N56" i="25" s="1"/>
  <c r="D56" i="25"/>
  <c r="L56" i="25" s="1"/>
  <c r="B56" i="25"/>
  <c r="Z55" i="25"/>
  <c r="X55" i="25"/>
  <c r="N55" i="25"/>
  <c r="L55" i="25"/>
  <c r="B55" i="25"/>
  <c r="Z54" i="25"/>
  <c r="X54" i="25"/>
  <c r="N54" i="25"/>
  <c r="L54" i="25"/>
  <c r="B54" i="25"/>
  <c r="X53" i="25"/>
  <c r="Z53" i="25" s="1"/>
  <c r="L53" i="25"/>
  <c r="N53" i="25" s="1"/>
  <c r="B53" i="25"/>
  <c r="Z52" i="25"/>
  <c r="X52" i="25"/>
  <c r="N52" i="25"/>
  <c r="L52" i="25"/>
  <c r="B52" i="25"/>
  <c r="Z51" i="25"/>
  <c r="X51" i="25"/>
  <c r="N51" i="25"/>
  <c r="L51" i="25"/>
  <c r="B51" i="25"/>
  <c r="X50" i="25"/>
  <c r="Z50" i="25" s="1"/>
  <c r="L50" i="25"/>
  <c r="N50" i="25" s="1"/>
  <c r="B50" i="25"/>
  <c r="X49" i="25"/>
  <c r="Z49" i="25" s="1"/>
  <c r="V49" i="25"/>
  <c r="N49" i="25"/>
  <c r="L49" i="25"/>
  <c r="B49" i="25"/>
  <c r="Z48" i="25"/>
  <c r="X48" i="25"/>
  <c r="V48" i="25"/>
  <c r="N48" i="25"/>
  <c r="L48" i="25"/>
  <c r="B48" i="25"/>
  <c r="X47" i="25"/>
  <c r="Z47" i="25" s="1"/>
  <c r="V47" i="25"/>
  <c r="N47" i="25"/>
  <c r="L47" i="25"/>
  <c r="B47" i="25"/>
  <c r="Z46" i="25"/>
  <c r="X46" i="25"/>
  <c r="N46" i="25"/>
  <c r="L46" i="25"/>
  <c r="B46" i="25"/>
  <c r="Z45" i="25"/>
  <c r="X45" i="25"/>
  <c r="T45" i="25"/>
  <c r="P45" i="25"/>
  <c r="L45" i="25"/>
  <c r="H45" i="25"/>
  <c r="N45" i="25" s="1"/>
  <c r="D45" i="25"/>
  <c r="B45" i="25"/>
  <c r="X44" i="25"/>
  <c r="Z44" i="25" s="1"/>
  <c r="V44" i="25"/>
  <c r="N44" i="25"/>
  <c r="L44" i="25"/>
  <c r="B44" i="25"/>
  <c r="X43" i="25"/>
  <c r="Z43" i="25" s="1"/>
  <c r="V43" i="25"/>
  <c r="L43" i="25"/>
  <c r="N43" i="25" s="1"/>
  <c r="B43" i="25"/>
  <c r="Z42" i="25"/>
  <c r="X42" i="25"/>
  <c r="L42" i="25"/>
  <c r="N42" i="25" s="1"/>
  <c r="B42" i="25"/>
  <c r="Z41" i="25"/>
  <c r="X41" i="25"/>
  <c r="N41" i="25"/>
  <c r="L41" i="25"/>
  <c r="B41" i="25"/>
  <c r="Z40" i="25"/>
  <c r="X40" i="25"/>
  <c r="N40" i="25"/>
  <c r="L40" i="25"/>
  <c r="B40" i="25"/>
  <c r="X39" i="25"/>
  <c r="Z39" i="25" s="1"/>
  <c r="V39" i="25"/>
  <c r="L39" i="25"/>
  <c r="N39" i="25" s="1"/>
  <c r="B39" i="25"/>
  <c r="X38" i="25"/>
  <c r="Z38" i="25" s="1"/>
  <c r="N38" i="25"/>
  <c r="L38" i="25"/>
  <c r="B38" i="25"/>
  <c r="Z37" i="25"/>
  <c r="X37" i="25"/>
  <c r="N37" i="25"/>
  <c r="L37" i="25"/>
  <c r="B37" i="25"/>
  <c r="X36" i="25"/>
  <c r="Z36" i="25" s="1"/>
  <c r="V36" i="25"/>
  <c r="N36" i="25"/>
  <c r="L36" i="25"/>
  <c r="B36" i="25"/>
  <c r="X35" i="25"/>
  <c r="Z35" i="25" s="1"/>
  <c r="V35" i="25"/>
  <c r="L35" i="25"/>
  <c r="N35" i="25" s="1"/>
  <c r="B35" i="25"/>
  <c r="Z34" i="25"/>
  <c r="X34" i="25"/>
  <c r="T34" i="25"/>
  <c r="P34" i="25"/>
  <c r="H34" i="25"/>
  <c r="D34" i="25"/>
  <c r="L34" i="25" s="1"/>
  <c r="B34" i="25"/>
  <c r="T33" i="25" a="1"/>
  <c r="T33" i="25" s="1"/>
  <c r="P33" i="25" a="1"/>
  <c r="P33" i="25" s="1"/>
  <c r="X33" i="25" s="1"/>
  <c r="H33" i="25" a="1"/>
  <c r="H33" i="25" s="1"/>
  <c r="D33" i="25" a="1"/>
  <c r="D33" i="25" s="1"/>
  <c r="T31" i="25"/>
  <c r="Z29" i="25"/>
  <c r="X29" i="25"/>
  <c r="V29" i="25"/>
  <c r="N29" i="25"/>
  <c r="L29" i="25"/>
  <c r="B29" i="25"/>
  <c r="Z28" i="25"/>
  <c r="X28" i="25"/>
  <c r="N28" i="25"/>
  <c r="L28" i="25"/>
  <c r="J28" i="25"/>
  <c r="B28" i="25"/>
  <c r="Z27" i="25"/>
  <c r="X27" i="25"/>
  <c r="V27" i="25"/>
  <c r="N27" i="25"/>
  <c r="L27" i="25"/>
  <c r="B27" i="25"/>
  <c r="Z26" i="25"/>
  <c r="X26" i="25"/>
  <c r="N26" i="25"/>
  <c r="L26" i="25"/>
  <c r="B26" i="25"/>
  <c r="Z25" i="25"/>
  <c r="X25" i="25"/>
  <c r="N25" i="25"/>
  <c r="L25" i="25"/>
  <c r="B25" i="25"/>
  <c r="Z24" i="25"/>
  <c r="X24" i="25"/>
  <c r="V24" i="25"/>
  <c r="N24" i="25"/>
  <c r="L24" i="25"/>
  <c r="B24" i="25"/>
  <c r="Z23" i="25"/>
  <c r="X23" i="25"/>
  <c r="V23" i="25"/>
  <c r="N23" i="25"/>
  <c r="L23" i="25"/>
  <c r="B23" i="25"/>
  <c r="Z22" i="25"/>
  <c r="X22" i="25"/>
  <c r="V22" i="25"/>
  <c r="N22" i="25"/>
  <c r="L22" i="25"/>
  <c r="B22" i="25"/>
  <c r="Z21" i="25"/>
  <c r="X21" i="25"/>
  <c r="V21" i="25"/>
  <c r="N21" i="25"/>
  <c r="L21" i="25"/>
  <c r="B21" i="25"/>
  <c r="X20" i="25"/>
  <c r="Z20" i="25" s="1"/>
  <c r="L20" i="25"/>
  <c r="N20" i="25" s="1"/>
  <c r="B20" i="25"/>
  <c r="V19" i="25"/>
  <c r="T19" i="25"/>
  <c r="P19" i="25"/>
  <c r="X19" i="25" s="1"/>
  <c r="Z19" i="25" s="1"/>
  <c r="N19" i="25"/>
  <c r="L19" i="25"/>
  <c r="H19" i="25"/>
  <c r="D19" i="25"/>
  <c r="Z17" i="25"/>
  <c r="X17" i="25"/>
  <c r="P17" i="25"/>
  <c r="N17" i="25"/>
  <c r="L17" i="25"/>
  <c r="D17" i="25"/>
  <c r="B17" i="25"/>
  <c r="Z16" i="25"/>
  <c r="P16" i="25"/>
  <c r="N16" i="25"/>
  <c r="D16" i="25"/>
  <c r="L16" i="25" s="1"/>
  <c r="B16" i="25"/>
  <c r="Z15" i="25"/>
  <c r="P15" i="25"/>
  <c r="X15" i="25" s="1"/>
  <c r="N15" i="25"/>
  <c r="L15" i="25"/>
  <c r="D15" i="25"/>
  <c r="B15" i="25"/>
  <c r="Z14" i="25"/>
  <c r="X14" i="25"/>
  <c r="P14" i="25"/>
  <c r="N14" i="25"/>
  <c r="L14" i="25"/>
  <c r="D14" i="25"/>
  <c r="B14" i="25"/>
  <c r="P13" i="25"/>
  <c r="X13" i="25" s="1"/>
  <c r="Z13" i="25" s="1"/>
  <c r="D13" i="25"/>
  <c r="B13" i="25"/>
  <c r="T12" i="25"/>
  <c r="V95" i="25" s="1"/>
  <c r="H12" i="25"/>
  <c r="J40" i="25" s="1"/>
  <c r="D4" i="25"/>
  <c r="B39" i="24"/>
  <c r="B38" i="24"/>
  <c r="T34" i="24"/>
  <c r="Z34" i="24" s="1"/>
  <c r="P34" i="24"/>
  <c r="H34" i="24"/>
  <c r="N34" i="24" s="1"/>
  <c r="D34" i="24"/>
  <c r="T33" i="24"/>
  <c r="Z33" i="24" s="1"/>
  <c r="P33" i="24"/>
  <c r="H33" i="24"/>
  <c r="N33" i="24" s="1"/>
  <c r="D33" i="24"/>
  <c r="T29" i="24"/>
  <c r="Z29" i="24" s="1"/>
  <c r="P29" i="24"/>
  <c r="H29" i="24"/>
  <c r="N29" i="24" s="1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N24" i="24" s="1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N20" i="24" s="1"/>
  <c r="D20" i="24"/>
  <c r="T16" i="24"/>
  <c r="Z16" i="24" s="1"/>
  <c r="P16" i="24"/>
  <c r="H16" i="24"/>
  <c r="N16" i="24" s="1"/>
  <c r="D16" i="24"/>
  <c r="B16" i="24"/>
  <c r="T15" i="24"/>
  <c r="Z15" i="24" s="1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V24" i="24" s="1"/>
  <c r="P12" i="24"/>
  <c r="R20" i="24" s="1"/>
  <c r="H12" i="24"/>
  <c r="J20" i="24" s="1"/>
  <c r="D12" i="24"/>
  <c r="F24" i="24" s="1"/>
  <c r="D5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9" i="23" s="1"/>
  <c r="P12" i="23"/>
  <c r="H12" i="23"/>
  <c r="J21" i="23" s="1"/>
  <c r="D12" i="23"/>
  <c r="F34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P13" i="22"/>
  <c r="H13" i="22"/>
  <c r="N13" i="22" s="1"/>
  <c r="D13" i="22"/>
  <c r="B13" i="22"/>
  <c r="T12" i="22"/>
  <c r="V20" i="22" s="1"/>
  <c r="P12" i="22"/>
  <c r="R22" i="22" s="1"/>
  <c r="H12" i="22"/>
  <c r="N12" i="22" s="1"/>
  <c r="D12" i="22"/>
  <c r="F27" i="22" s="1"/>
  <c r="D5" i="22"/>
  <c r="D4" i="22"/>
  <c r="Z97" i="21"/>
  <c r="X97" i="21"/>
  <c r="V97" i="21"/>
  <c r="L97" i="21"/>
  <c r="N97" i="21" s="1"/>
  <c r="T93" i="21"/>
  <c r="Z93" i="21" s="1"/>
  <c r="P93" i="21"/>
  <c r="N93" i="21"/>
  <c r="L93" i="21"/>
  <c r="H93" i="21"/>
  <c r="D93" i="21"/>
  <c r="Z91" i="21"/>
  <c r="X91" i="21"/>
  <c r="V91" i="21"/>
  <c r="N91" i="21"/>
  <c r="L91" i="21"/>
  <c r="B91" i="21"/>
  <c r="X90" i="21"/>
  <c r="T90" i="21"/>
  <c r="Z90" i="21" s="1"/>
  <c r="P90" i="21"/>
  <c r="H90" i="21"/>
  <c r="N90" i="21" s="1"/>
  <c r="D90" i="21"/>
  <c r="L90" i="21" s="1"/>
  <c r="B90" i="21"/>
  <c r="X89" i="21"/>
  <c r="Z89" i="21" s="1"/>
  <c r="N89" i="21"/>
  <c r="L89" i="21"/>
  <c r="B89" i="21"/>
  <c r="T88" i="21"/>
  <c r="P88" i="21"/>
  <c r="N88" i="21"/>
  <c r="H88" i="21"/>
  <c r="D88" i="21"/>
  <c r="L88" i="21" s="1"/>
  <c r="B88" i="21"/>
  <c r="X87" i="21"/>
  <c r="Z87" i="21" s="1"/>
  <c r="N87" i="21"/>
  <c r="L87" i="21"/>
  <c r="J87" i="21"/>
  <c r="B87" i="21"/>
  <c r="Z86" i="21"/>
  <c r="X86" i="21"/>
  <c r="L86" i="21"/>
  <c r="N86" i="21" s="1"/>
  <c r="B86" i="21"/>
  <c r="T85" i="21"/>
  <c r="P85" i="21"/>
  <c r="X85" i="21" s="1"/>
  <c r="Z85" i="21" s="1"/>
  <c r="H85" i="21"/>
  <c r="D85" i="21"/>
  <c r="B85" i="21"/>
  <c r="Z84" i="21"/>
  <c r="X84" i="21"/>
  <c r="N84" i="21"/>
  <c r="L84" i="21"/>
  <c r="B84" i="21"/>
  <c r="X83" i="21"/>
  <c r="Z83" i="21" s="1"/>
  <c r="N83" i="21"/>
  <c r="L83" i="21"/>
  <c r="J83" i="21"/>
  <c r="B83" i="21"/>
  <c r="Z82" i="21"/>
  <c r="X82" i="21"/>
  <c r="N82" i="21"/>
  <c r="L82" i="21"/>
  <c r="B82" i="21"/>
  <c r="X81" i="21"/>
  <c r="Z81" i="21" s="1"/>
  <c r="N81" i="21"/>
  <c r="L81" i="21"/>
  <c r="B81" i="21"/>
  <c r="Z80" i="21"/>
  <c r="X80" i="21"/>
  <c r="N80" i="21"/>
  <c r="L80" i="21"/>
  <c r="B80" i="21"/>
  <c r="V79" i="21"/>
  <c r="T79" i="21"/>
  <c r="Z79" i="21" s="1"/>
  <c r="P79" i="21"/>
  <c r="X79" i="21" s="1"/>
  <c r="H79" i="21"/>
  <c r="F79" i="21"/>
  <c r="D79" i="21"/>
  <c r="L79" i="21" s="1"/>
  <c r="N79" i="21" s="1"/>
  <c r="B79" i="21"/>
  <c r="Z78" i="21"/>
  <c r="X78" i="21"/>
  <c r="L78" i="21"/>
  <c r="N78" i="21" s="1"/>
  <c r="B78" i="21"/>
  <c r="Z77" i="21"/>
  <c r="X77" i="21"/>
  <c r="N77" i="21"/>
  <c r="L77" i="21"/>
  <c r="B77" i="21"/>
  <c r="Z76" i="21"/>
  <c r="X76" i="21"/>
  <c r="N76" i="21"/>
  <c r="L76" i="21"/>
  <c r="B76" i="21"/>
  <c r="V75" i="21"/>
  <c r="T75" i="21"/>
  <c r="P75" i="21"/>
  <c r="X75" i="21" s="1"/>
  <c r="H75" i="21"/>
  <c r="D75" i="21"/>
  <c r="L75" i="21" s="1"/>
  <c r="N75" i="21" s="1"/>
  <c r="B75" i="21"/>
  <c r="Z74" i="21"/>
  <c r="X74" i="21"/>
  <c r="L74" i="21"/>
  <c r="N74" i="21" s="1"/>
  <c r="B74" i="21"/>
  <c r="T73" i="21"/>
  <c r="P73" i="21"/>
  <c r="X73" i="21" s="1"/>
  <c r="Z73" i="21" s="1"/>
  <c r="H73" i="21"/>
  <c r="D73" i="21"/>
  <c r="B73" i="21"/>
  <c r="Z72" i="21"/>
  <c r="X72" i="21"/>
  <c r="N72" i="21"/>
  <c r="L72" i="21"/>
  <c r="B72" i="21"/>
  <c r="X71" i="21"/>
  <c r="Z71" i="21" s="1"/>
  <c r="N71" i="21"/>
  <c r="L71" i="21"/>
  <c r="J71" i="21"/>
  <c r="B71" i="21"/>
  <c r="Z70" i="21"/>
  <c r="X70" i="21"/>
  <c r="N70" i="21"/>
  <c r="L70" i="21"/>
  <c r="B70" i="21"/>
  <c r="T69" i="21"/>
  <c r="P69" i="21"/>
  <c r="X69" i="21" s="1"/>
  <c r="H69" i="21"/>
  <c r="D69" i="21"/>
  <c r="B69" i="21"/>
  <c r="Z68" i="21"/>
  <c r="X68" i="21"/>
  <c r="N68" i="21"/>
  <c r="L68" i="21"/>
  <c r="F68" i="21"/>
  <c r="B68" i="21"/>
  <c r="T67" i="21"/>
  <c r="P67" i="21"/>
  <c r="N67" i="21"/>
  <c r="L67" i="21"/>
  <c r="H67" i="21"/>
  <c r="D67" i="21"/>
  <c r="B67" i="21"/>
  <c r="X66" i="21"/>
  <c r="Z66" i="21" s="1"/>
  <c r="N66" i="21"/>
  <c r="L66" i="21"/>
  <c r="B66" i="21"/>
  <c r="Z65" i="21"/>
  <c r="X65" i="21"/>
  <c r="T65" i="21"/>
  <c r="P65" i="21"/>
  <c r="J65" i="21"/>
  <c r="H65" i="21"/>
  <c r="D65" i="21"/>
  <c r="L65" i="21" s="1"/>
  <c r="B65" i="21"/>
  <c r="Z64" i="21"/>
  <c r="X64" i="21"/>
  <c r="N64" i="21"/>
  <c r="L64" i="21"/>
  <c r="B64" i="21"/>
  <c r="V63" i="21"/>
  <c r="T63" i="21"/>
  <c r="Z63" i="21" s="1"/>
  <c r="P63" i="21"/>
  <c r="X63" i="21" s="1"/>
  <c r="H63" i="21"/>
  <c r="N63" i="21" s="1"/>
  <c r="F63" i="21"/>
  <c r="D63" i="21"/>
  <c r="L63" i="21" s="1"/>
  <c r="B63" i="21"/>
  <c r="Z62" i="21"/>
  <c r="X62" i="21"/>
  <c r="L62" i="21"/>
  <c r="N62" i="21" s="1"/>
  <c r="B62" i="21"/>
  <c r="T61" i="21"/>
  <c r="P61" i="21"/>
  <c r="X61" i="21" s="1"/>
  <c r="H61" i="21"/>
  <c r="D61" i="21"/>
  <c r="B61" i="21"/>
  <c r="Z60" i="21"/>
  <c r="X60" i="21"/>
  <c r="N60" i="21"/>
  <c r="L60" i="21"/>
  <c r="F60" i="21"/>
  <c r="B60" i="21"/>
  <c r="T59" i="21"/>
  <c r="P59" i="21"/>
  <c r="N59" i="21"/>
  <c r="L59" i="21"/>
  <c r="H59" i="21"/>
  <c r="D59" i="21"/>
  <c r="B59" i="21"/>
  <c r="X58" i="21"/>
  <c r="Z58" i="21" s="1"/>
  <c r="N58" i="21"/>
  <c r="L58" i="21"/>
  <c r="B58" i="21"/>
  <c r="Z57" i="21"/>
  <c r="X57" i="21"/>
  <c r="N57" i="21"/>
  <c r="L57" i="21"/>
  <c r="B57" i="21"/>
  <c r="Z56" i="21"/>
  <c r="X56" i="21"/>
  <c r="T56" i="21"/>
  <c r="P56" i="21"/>
  <c r="L56" i="21"/>
  <c r="H56" i="21"/>
  <c r="N56" i="21" s="1"/>
  <c r="D56" i="21"/>
  <c r="B56" i="21"/>
  <c r="X55" i="21"/>
  <c r="Z55" i="21" s="1"/>
  <c r="V55" i="21"/>
  <c r="L55" i="21"/>
  <c r="N55" i="21" s="1"/>
  <c r="B55" i="21"/>
  <c r="X54" i="21"/>
  <c r="T54" i="21"/>
  <c r="Z54" i="21" s="1"/>
  <c r="P54" i="21"/>
  <c r="H54" i="21"/>
  <c r="D54" i="21"/>
  <c r="L54" i="21" s="1"/>
  <c r="B54" i="21"/>
  <c r="Z53" i="21"/>
  <c r="X53" i="21"/>
  <c r="N53" i="21"/>
  <c r="L53" i="21"/>
  <c r="B53" i="21"/>
  <c r="T52" i="21"/>
  <c r="Z52" i="21" s="1"/>
  <c r="P52" i="21"/>
  <c r="X52" i="21" s="1"/>
  <c r="N52" i="21"/>
  <c r="H52" i="21"/>
  <c r="D52" i="21"/>
  <c r="L52" i="21" s="1"/>
  <c r="B52" i="21"/>
  <c r="Z51" i="21"/>
  <c r="X51" i="21"/>
  <c r="N51" i="21"/>
  <c r="L51" i="21"/>
  <c r="J51" i="21"/>
  <c r="B51" i="21"/>
  <c r="Z50" i="21"/>
  <c r="T50" i="21"/>
  <c r="P50" i="21"/>
  <c r="X50" i="21" s="1"/>
  <c r="N50" i="21"/>
  <c r="L50" i="21"/>
  <c r="H50" i="21"/>
  <c r="D50" i="21"/>
  <c r="B50" i="21"/>
  <c r="Z49" i="21"/>
  <c r="X49" i="21"/>
  <c r="N49" i="21"/>
  <c r="L49" i="21"/>
  <c r="B49" i="21"/>
  <c r="Z48" i="21"/>
  <c r="X48" i="21"/>
  <c r="N48" i="21"/>
  <c r="L48" i="21"/>
  <c r="B48" i="21"/>
  <c r="X47" i="21"/>
  <c r="Z47" i="21" s="1"/>
  <c r="L47" i="21"/>
  <c r="N47" i="21" s="1"/>
  <c r="J47" i="21"/>
  <c r="B47" i="21"/>
  <c r="Z46" i="21"/>
  <c r="X46" i="21"/>
  <c r="N46" i="21"/>
  <c r="L46" i="21"/>
  <c r="B46" i="21"/>
  <c r="Z45" i="21"/>
  <c r="X45" i="21"/>
  <c r="N45" i="21"/>
  <c r="L45" i="21"/>
  <c r="B45" i="21"/>
  <c r="Z44" i="21"/>
  <c r="X44" i="21"/>
  <c r="N44" i="21"/>
  <c r="L44" i="21"/>
  <c r="B44" i="21"/>
  <c r="X43" i="21"/>
  <c r="Z43" i="21" s="1"/>
  <c r="V43" i="21"/>
  <c r="L43" i="21"/>
  <c r="N43" i="21" s="1"/>
  <c r="B43" i="21"/>
  <c r="Z42" i="21"/>
  <c r="X42" i="21"/>
  <c r="N42" i="21"/>
  <c r="L42" i="21"/>
  <c r="B42" i="21"/>
  <c r="Z41" i="21"/>
  <c r="X41" i="21"/>
  <c r="L41" i="21"/>
  <c r="N41" i="21" s="1"/>
  <c r="B41" i="21"/>
  <c r="Z40" i="21"/>
  <c r="X40" i="21"/>
  <c r="N40" i="21"/>
  <c r="L40" i="21"/>
  <c r="B40" i="21"/>
  <c r="T39" i="21"/>
  <c r="P39" i="21"/>
  <c r="N39" i="21"/>
  <c r="L39" i="21"/>
  <c r="H39" i="21"/>
  <c r="D39" i="21"/>
  <c r="B39" i="21"/>
  <c r="Z38" i="21"/>
  <c r="X38" i="21"/>
  <c r="N38" i="21"/>
  <c r="L38" i="21"/>
  <c r="B38" i="21"/>
  <c r="Z37" i="21"/>
  <c r="X37" i="21"/>
  <c r="L37" i="21"/>
  <c r="N37" i="21" s="1"/>
  <c r="B37" i="21"/>
  <c r="Z36" i="21"/>
  <c r="X36" i="21"/>
  <c r="N36" i="21"/>
  <c r="L36" i="21"/>
  <c r="F36" i="21"/>
  <c r="B36" i="21"/>
  <c r="Z35" i="21"/>
  <c r="X35" i="21"/>
  <c r="N35" i="21"/>
  <c r="L35" i="21"/>
  <c r="J35" i="21"/>
  <c r="B35" i="21"/>
  <c r="Z34" i="21"/>
  <c r="X34" i="21"/>
  <c r="N34" i="21"/>
  <c r="L34" i="21"/>
  <c r="B34" i="21"/>
  <c r="X33" i="21"/>
  <c r="Z33" i="21" s="1"/>
  <c r="N33" i="21"/>
  <c r="L33" i="21"/>
  <c r="B33" i="21"/>
  <c r="Z32" i="21"/>
  <c r="X32" i="21"/>
  <c r="N32" i="21"/>
  <c r="L32" i="21"/>
  <c r="B32" i="21"/>
  <c r="Z31" i="21"/>
  <c r="X31" i="21"/>
  <c r="V31" i="21"/>
  <c r="L31" i="21"/>
  <c r="N31" i="21" s="1"/>
  <c r="B31" i="21"/>
  <c r="X30" i="21"/>
  <c r="Z30" i="21" s="1"/>
  <c r="N30" i="21"/>
  <c r="L30" i="21"/>
  <c r="B30" i="21"/>
  <c r="Z29" i="21"/>
  <c r="X29" i="21"/>
  <c r="L29" i="21"/>
  <c r="N29" i="21" s="1"/>
  <c r="B29" i="21"/>
  <c r="Z28" i="21"/>
  <c r="X28" i="21"/>
  <c r="T28" i="21"/>
  <c r="P28" i="21"/>
  <c r="L28" i="21"/>
  <c r="H28" i="21"/>
  <c r="N28" i="21" s="1"/>
  <c r="D28" i="21"/>
  <c r="B28" i="21"/>
  <c r="V27" i="21"/>
  <c r="T27" i="21" a="1"/>
  <c r="T27" i="21" s="1"/>
  <c r="P27" i="21" a="1"/>
  <c r="P27" i="21"/>
  <c r="H27" i="21" a="1"/>
  <c r="H27" i="21" s="1"/>
  <c r="D27" i="21" a="1"/>
  <c r="D27" i="21"/>
  <c r="Z23" i="21"/>
  <c r="X23" i="21"/>
  <c r="N23" i="21"/>
  <c r="L23" i="21"/>
  <c r="J23" i="21"/>
  <c r="B23" i="21"/>
  <c r="Z22" i="21"/>
  <c r="X22" i="21"/>
  <c r="N22" i="21"/>
  <c r="L22" i="21"/>
  <c r="B22" i="21"/>
  <c r="X21" i="21"/>
  <c r="Z21" i="21" s="1"/>
  <c r="N21" i="21"/>
  <c r="L21" i="21"/>
  <c r="B21" i="21"/>
  <c r="T20" i="21"/>
  <c r="P20" i="21"/>
  <c r="H20" i="21"/>
  <c r="D20" i="21"/>
  <c r="L20" i="21" s="1"/>
  <c r="N20" i="21" s="1"/>
  <c r="Z18" i="21"/>
  <c r="P18" i="21"/>
  <c r="X18" i="21" s="1"/>
  <c r="N18" i="21"/>
  <c r="L18" i="21"/>
  <c r="D18" i="21"/>
  <c r="B18" i="21"/>
  <c r="Z17" i="21"/>
  <c r="X17" i="21"/>
  <c r="P17" i="21"/>
  <c r="N17" i="21"/>
  <c r="D17" i="21"/>
  <c r="L17" i="21" s="1"/>
  <c r="B17" i="21"/>
  <c r="X16" i="21"/>
  <c r="Z16" i="21" s="1"/>
  <c r="P16" i="21"/>
  <c r="D16" i="21"/>
  <c r="L16" i="21" s="1"/>
  <c r="N16" i="21" s="1"/>
  <c r="B16" i="21"/>
  <c r="Z15" i="21"/>
  <c r="P15" i="21"/>
  <c r="N15" i="21"/>
  <c r="D15" i="21"/>
  <c r="L15" i="21" s="1"/>
  <c r="B15" i="21"/>
  <c r="Z14" i="21"/>
  <c r="P14" i="21"/>
  <c r="X14" i="21" s="1"/>
  <c r="N14" i="21"/>
  <c r="L14" i="21"/>
  <c r="D14" i="21"/>
  <c r="B14" i="21"/>
  <c r="X13" i="21"/>
  <c r="Z13" i="21" s="1"/>
  <c r="P13" i="21"/>
  <c r="L13" i="21"/>
  <c r="N13" i="21" s="1"/>
  <c r="D13" i="21"/>
  <c r="D12" i="21" s="1"/>
  <c r="F40" i="21" s="1"/>
  <c r="B13" i="21"/>
  <c r="T12" i="21"/>
  <c r="H12" i="21"/>
  <c r="J97" i="21" s="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34" i="20" s="1"/>
  <c r="P12" i="20"/>
  <c r="H12" i="20"/>
  <c r="J21" i="20" s="1"/>
  <c r="D12" i="20"/>
  <c r="F22" i="20" s="1"/>
  <c r="D5" i="20"/>
  <c r="D4" i="20"/>
  <c r="B39" i="19"/>
  <c r="B38" i="19"/>
  <c r="T34" i="19"/>
  <c r="Z34" i="19" s="1"/>
  <c r="P34" i="19"/>
  <c r="H34" i="19"/>
  <c r="N34" i="19" s="1"/>
  <c r="D34" i="19"/>
  <c r="T33" i="19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P13" i="19"/>
  <c r="H13" i="19"/>
  <c r="N13" i="19" s="1"/>
  <c r="D13" i="19"/>
  <c r="B13" i="19"/>
  <c r="T12" i="19"/>
  <c r="V24" i="19" s="1"/>
  <c r="P12" i="19"/>
  <c r="R20" i="19" s="1"/>
  <c r="H12" i="19"/>
  <c r="D12" i="19"/>
  <c r="F15" i="19" s="1"/>
  <c r="D5" i="19"/>
  <c r="D4" i="19"/>
  <c r="Z161" i="18"/>
  <c r="X161" i="18"/>
  <c r="L161" i="18"/>
  <c r="N161" i="18" s="1"/>
  <c r="Z157" i="18"/>
  <c r="X157" i="18"/>
  <c r="P157" i="18"/>
  <c r="N157" i="18"/>
  <c r="L157" i="18"/>
  <c r="D157" i="18"/>
  <c r="B157" i="18"/>
  <c r="P156" i="18"/>
  <c r="X156" i="18" s="1"/>
  <c r="Z156" i="18" s="1"/>
  <c r="N156" i="18"/>
  <c r="L156" i="18"/>
  <c r="D156" i="18"/>
  <c r="B156" i="18"/>
  <c r="Z155" i="18"/>
  <c r="X155" i="18"/>
  <c r="P155" i="18"/>
  <c r="N155" i="18"/>
  <c r="D155" i="18"/>
  <c r="L155" i="18" s="1"/>
  <c r="B155" i="18"/>
  <c r="X154" i="18"/>
  <c r="Z154" i="18" s="1"/>
  <c r="P154" i="18"/>
  <c r="N154" i="18"/>
  <c r="L154" i="18"/>
  <c r="D154" i="18"/>
  <c r="B154" i="18"/>
  <c r="P153" i="18"/>
  <c r="X153" i="18" s="1"/>
  <c r="Z153" i="18" s="1"/>
  <c r="L153" i="18"/>
  <c r="N153" i="18" s="1"/>
  <c r="D153" i="18"/>
  <c r="B153" i="18"/>
  <c r="Z152" i="18"/>
  <c r="P152" i="18"/>
  <c r="X152" i="18" s="1"/>
  <c r="N152" i="18"/>
  <c r="J152" i="18"/>
  <c r="D152" i="18"/>
  <c r="L152" i="18" s="1"/>
  <c r="B152" i="18"/>
  <c r="Z151" i="18"/>
  <c r="P151" i="18"/>
  <c r="N151" i="18"/>
  <c r="D151" i="18"/>
  <c r="L151" i="18" s="1"/>
  <c r="B151" i="18"/>
  <c r="T150" i="18"/>
  <c r="H150" i="18"/>
  <c r="X148" i="18"/>
  <c r="Z148" i="18" s="1"/>
  <c r="L148" i="18"/>
  <c r="N148" i="18" s="1"/>
  <c r="B148" i="18"/>
  <c r="T147" i="18"/>
  <c r="P147" i="18"/>
  <c r="X147" i="18" s="1"/>
  <c r="Z147" i="18" s="1"/>
  <c r="H147" i="18"/>
  <c r="D147" i="18"/>
  <c r="B147" i="18"/>
  <c r="Z146" i="18"/>
  <c r="X146" i="18"/>
  <c r="N146" i="18"/>
  <c r="L146" i="18"/>
  <c r="B146" i="18"/>
  <c r="X145" i="18"/>
  <c r="Z145" i="18" s="1"/>
  <c r="L145" i="18"/>
  <c r="N145" i="18" s="1"/>
  <c r="J145" i="18"/>
  <c r="B145" i="18"/>
  <c r="Z144" i="18"/>
  <c r="X144" i="18"/>
  <c r="L144" i="18"/>
  <c r="N144" i="18" s="1"/>
  <c r="B144" i="18"/>
  <c r="T143" i="18"/>
  <c r="P143" i="18"/>
  <c r="X143" i="18" s="1"/>
  <c r="Z143" i="18" s="1"/>
  <c r="H143" i="18"/>
  <c r="D143" i="18"/>
  <c r="B143" i="18"/>
  <c r="Z142" i="18"/>
  <c r="X142" i="18"/>
  <c r="N142" i="18"/>
  <c r="L142" i="18"/>
  <c r="B142" i="18"/>
  <c r="T141" i="18"/>
  <c r="P141" i="18"/>
  <c r="N141" i="18"/>
  <c r="L141" i="18"/>
  <c r="H141" i="18"/>
  <c r="D141" i="18"/>
  <c r="B141" i="18"/>
  <c r="X140" i="18"/>
  <c r="Z140" i="18" s="1"/>
  <c r="N140" i="18"/>
  <c r="L140" i="18"/>
  <c r="B140" i="18"/>
  <c r="Z139" i="18"/>
  <c r="X139" i="18"/>
  <c r="N139" i="18"/>
  <c r="L139" i="18"/>
  <c r="B139" i="18"/>
  <c r="T138" i="18"/>
  <c r="X138" i="18" s="1"/>
  <c r="Z138" i="18" s="1"/>
  <c r="P138" i="18"/>
  <c r="L138" i="18"/>
  <c r="H138" i="18"/>
  <c r="D138" i="18"/>
  <c r="B138" i="18"/>
  <c r="X137" i="18"/>
  <c r="Z137" i="18" s="1"/>
  <c r="L137" i="18"/>
  <c r="N137" i="18" s="1"/>
  <c r="B137" i="18"/>
  <c r="X136" i="18"/>
  <c r="Z136" i="18" s="1"/>
  <c r="N136" i="18"/>
  <c r="L136" i="18"/>
  <c r="B136" i="18"/>
  <c r="Z135" i="18"/>
  <c r="X135" i="18"/>
  <c r="L135" i="18"/>
  <c r="N135" i="18" s="1"/>
  <c r="B135" i="18"/>
  <c r="Z134" i="18"/>
  <c r="X134" i="18"/>
  <c r="N134" i="18"/>
  <c r="L134" i="18"/>
  <c r="B134" i="18"/>
  <c r="X133" i="18"/>
  <c r="Z133" i="18" s="1"/>
  <c r="L133" i="18"/>
  <c r="N133" i="18" s="1"/>
  <c r="J133" i="18"/>
  <c r="B133" i="18"/>
  <c r="Z132" i="18"/>
  <c r="X132" i="18"/>
  <c r="L132" i="18"/>
  <c r="N132" i="18" s="1"/>
  <c r="B132" i="18"/>
  <c r="X131" i="18"/>
  <c r="Z131" i="18" s="1"/>
  <c r="N131" i="18"/>
  <c r="L131" i="18"/>
  <c r="B131" i="18"/>
  <c r="T130" i="18"/>
  <c r="P130" i="18"/>
  <c r="X130" i="18" s="1"/>
  <c r="H130" i="18"/>
  <c r="D130" i="18"/>
  <c r="L130" i="18" s="1"/>
  <c r="N130" i="18" s="1"/>
  <c r="B130" i="18"/>
  <c r="X129" i="18"/>
  <c r="Z129" i="18" s="1"/>
  <c r="L129" i="18"/>
  <c r="N129" i="18" s="1"/>
  <c r="B129" i="18"/>
  <c r="Z128" i="18"/>
  <c r="X128" i="18"/>
  <c r="L128" i="18"/>
  <c r="N128" i="18" s="1"/>
  <c r="B128" i="18"/>
  <c r="T127" i="18"/>
  <c r="P127" i="18"/>
  <c r="X127" i="18" s="1"/>
  <c r="Z127" i="18" s="1"/>
  <c r="H127" i="18"/>
  <c r="D127" i="18"/>
  <c r="B127" i="18"/>
  <c r="Z126" i="18"/>
  <c r="X126" i="18"/>
  <c r="N126" i="18"/>
  <c r="L126" i="18"/>
  <c r="B126" i="18"/>
  <c r="X125" i="18"/>
  <c r="Z125" i="18" s="1"/>
  <c r="L125" i="18"/>
  <c r="N125" i="18" s="1"/>
  <c r="B125" i="18"/>
  <c r="Z124" i="18"/>
  <c r="X124" i="18"/>
  <c r="L124" i="18"/>
  <c r="N124" i="18" s="1"/>
  <c r="B124" i="18"/>
  <c r="T123" i="18"/>
  <c r="Z123" i="18" s="1"/>
  <c r="P123" i="18"/>
  <c r="X123" i="18" s="1"/>
  <c r="H123" i="18"/>
  <c r="D123" i="18"/>
  <c r="B123" i="18"/>
  <c r="Z122" i="18"/>
  <c r="X122" i="18"/>
  <c r="N122" i="18"/>
  <c r="L122" i="18"/>
  <c r="B122" i="18"/>
  <c r="X121" i="18"/>
  <c r="Z121" i="18" s="1"/>
  <c r="L121" i="18"/>
  <c r="N121" i="18" s="1"/>
  <c r="B121" i="18"/>
  <c r="Z120" i="18"/>
  <c r="X120" i="18"/>
  <c r="N120" i="18"/>
  <c r="L120" i="18"/>
  <c r="B120" i="18"/>
  <c r="X119" i="18"/>
  <c r="Z119" i="18" s="1"/>
  <c r="N119" i="18"/>
  <c r="L119" i="18"/>
  <c r="B119" i="18"/>
  <c r="T118" i="18"/>
  <c r="P118" i="18"/>
  <c r="H118" i="18"/>
  <c r="D118" i="18"/>
  <c r="L118" i="18" s="1"/>
  <c r="N118" i="18" s="1"/>
  <c r="B118" i="18"/>
  <c r="Z117" i="18"/>
  <c r="X117" i="18"/>
  <c r="L117" i="18"/>
  <c r="N117" i="18" s="1"/>
  <c r="J117" i="18"/>
  <c r="B117" i="18"/>
  <c r="Z116" i="18"/>
  <c r="X116" i="18"/>
  <c r="L116" i="18"/>
  <c r="N116" i="18" s="1"/>
  <c r="B116" i="18"/>
  <c r="X115" i="18"/>
  <c r="Z115" i="18" s="1"/>
  <c r="N115" i="18"/>
  <c r="L115" i="18"/>
  <c r="B115" i="18"/>
  <c r="Z114" i="18"/>
  <c r="X114" i="18"/>
  <c r="N114" i="18"/>
  <c r="L114" i="18"/>
  <c r="B114" i="18"/>
  <c r="T113" i="18"/>
  <c r="P113" i="18"/>
  <c r="X113" i="18" s="1"/>
  <c r="H113" i="18"/>
  <c r="N113" i="18" s="1"/>
  <c r="D113" i="18"/>
  <c r="L113" i="18" s="1"/>
  <c r="B113" i="18"/>
  <c r="Z112" i="18"/>
  <c r="X112" i="18"/>
  <c r="L112" i="18"/>
  <c r="N112" i="18" s="1"/>
  <c r="B112" i="18"/>
  <c r="T111" i="18"/>
  <c r="Z111" i="18" s="1"/>
  <c r="P111" i="18"/>
  <c r="X111" i="18" s="1"/>
  <c r="H111" i="18"/>
  <c r="D111" i="18"/>
  <c r="B111" i="18"/>
  <c r="Z110" i="18"/>
  <c r="X110" i="18"/>
  <c r="N110" i="18"/>
  <c r="L110" i="18"/>
  <c r="B110" i="18"/>
  <c r="T109" i="18"/>
  <c r="P109" i="18"/>
  <c r="N109" i="18"/>
  <c r="L109" i="18"/>
  <c r="H109" i="18"/>
  <c r="D109" i="18"/>
  <c r="B109" i="18"/>
  <c r="X108" i="18"/>
  <c r="Z108" i="18" s="1"/>
  <c r="N108" i="18"/>
  <c r="L108" i="18"/>
  <c r="B108" i="18"/>
  <c r="Z107" i="18"/>
  <c r="X107" i="18"/>
  <c r="T107" i="18"/>
  <c r="P107" i="18"/>
  <c r="J107" i="18"/>
  <c r="H107" i="18"/>
  <c r="D107" i="18"/>
  <c r="L107" i="18" s="1"/>
  <c r="B107" i="18"/>
  <c r="Z106" i="18"/>
  <c r="X106" i="18"/>
  <c r="N106" i="18"/>
  <c r="L106" i="18"/>
  <c r="B106" i="18"/>
  <c r="T105" i="18"/>
  <c r="P105" i="18"/>
  <c r="X105" i="18" s="1"/>
  <c r="H105" i="18"/>
  <c r="N105" i="18" s="1"/>
  <c r="D105" i="18"/>
  <c r="L105" i="18" s="1"/>
  <c r="B105" i="18"/>
  <c r="Z104" i="18"/>
  <c r="X104" i="18"/>
  <c r="L104" i="18"/>
  <c r="N104" i="18" s="1"/>
  <c r="B104" i="18"/>
  <c r="X103" i="18"/>
  <c r="Z103" i="18" s="1"/>
  <c r="N103" i="18"/>
  <c r="L103" i="18"/>
  <c r="B103" i="18"/>
  <c r="T102" i="18"/>
  <c r="P102" i="18"/>
  <c r="X102" i="18" s="1"/>
  <c r="H102" i="18"/>
  <c r="D102" i="18"/>
  <c r="L102" i="18" s="1"/>
  <c r="N102" i="18" s="1"/>
  <c r="B102" i="18"/>
  <c r="X101" i="18"/>
  <c r="Z101" i="18" s="1"/>
  <c r="L101" i="18"/>
  <c r="N101" i="18" s="1"/>
  <c r="J101" i="18"/>
  <c r="B101" i="18"/>
  <c r="Z100" i="18"/>
  <c r="X100" i="18"/>
  <c r="L100" i="18"/>
  <c r="N100" i="18" s="1"/>
  <c r="B100" i="18"/>
  <c r="T99" i="18"/>
  <c r="Z99" i="18" s="1"/>
  <c r="P99" i="18"/>
  <c r="X99" i="18" s="1"/>
  <c r="H99" i="18"/>
  <c r="D99" i="18"/>
  <c r="B99" i="18"/>
  <c r="Z98" i="18"/>
  <c r="X98" i="18"/>
  <c r="N98" i="18"/>
  <c r="L98" i="18"/>
  <c r="B98" i="18"/>
  <c r="T97" i="18"/>
  <c r="P97" i="18"/>
  <c r="N97" i="18"/>
  <c r="L97" i="18"/>
  <c r="H97" i="18"/>
  <c r="D97" i="18"/>
  <c r="B97" i="18"/>
  <c r="X96" i="18"/>
  <c r="Z96" i="18" s="1"/>
  <c r="N96" i="18"/>
  <c r="L96" i="18"/>
  <c r="B96" i="18"/>
  <c r="Z95" i="18"/>
  <c r="X95" i="18"/>
  <c r="T95" i="18"/>
  <c r="P95" i="18"/>
  <c r="J95" i="18"/>
  <c r="H95" i="18"/>
  <c r="N95" i="18" s="1"/>
  <c r="D95" i="18"/>
  <c r="L95" i="18" s="1"/>
  <c r="B95" i="18"/>
  <c r="Z94" i="18"/>
  <c r="X94" i="18"/>
  <c r="N94" i="18"/>
  <c r="L94" i="18"/>
  <c r="B94" i="18"/>
  <c r="T93" i="18"/>
  <c r="P93" i="18"/>
  <c r="X93" i="18" s="1"/>
  <c r="H93" i="18"/>
  <c r="N93" i="18" s="1"/>
  <c r="D93" i="18"/>
  <c r="L93" i="18" s="1"/>
  <c r="B93" i="18"/>
  <c r="Z92" i="18"/>
  <c r="X92" i="18"/>
  <c r="N92" i="18"/>
  <c r="L92" i="18"/>
  <c r="B92" i="18"/>
  <c r="Z91" i="18"/>
  <c r="X91" i="18"/>
  <c r="N91" i="18"/>
  <c r="L91" i="18"/>
  <c r="B91" i="18"/>
  <c r="T90" i="18"/>
  <c r="Z90" i="18" s="1"/>
  <c r="P90" i="18"/>
  <c r="X90" i="18" s="1"/>
  <c r="N90" i="18"/>
  <c r="H90" i="18"/>
  <c r="D90" i="18"/>
  <c r="L90" i="18" s="1"/>
  <c r="B90" i="18"/>
  <c r="Z89" i="18"/>
  <c r="X89" i="18"/>
  <c r="L89" i="18"/>
  <c r="N89" i="18" s="1"/>
  <c r="J89" i="18"/>
  <c r="B89" i="18"/>
  <c r="Z88" i="18"/>
  <c r="X88" i="18"/>
  <c r="N88" i="18"/>
  <c r="L88" i="18"/>
  <c r="B88" i="18"/>
  <c r="T87" i="18"/>
  <c r="P87" i="18"/>
  <c r="X87" i="18" s="1"/>
  <c r="H87" i="18"/>
  <c r="D87" i="18"/>
  <c r="B87" i="18"/>
  <c r="Z86" i="18"/>
  <c r="X86" i="18"/>
  <c r="N86" i="18"/>
  <c r="L86" i="18"/>
  <c r="B86" i="18"/>
  <c r="T85" i="18"/>
  <c r="P85" i="18"/>
  <c r="N85" i="18"/>
  <c r="L85" i="18"/>
  <c r="H85" i="18"/>
  <c r="D85" i="18"/>
  <c r="B85" i="18"/>
  <c r="X84" i="18"/>
  <c r="Z84" i="18" s="1"/>
  <c r="N84" i="18"/>
  <c r="L84" i="18"/>
  <c r="B84" i="18"/>
  <c r="Z83" i="18"/>
  <c r="X83" i="18"/>
  <c r="T83" i="18"/>
  <c r="P83" i="18"/>
  <c r="H83" i="18"/>
  <c r="D83" i="18"/>
  <c r="L83" i="18" s="1"/>
  <c r="B83" i="18"/>
  <c r="Z82" i="18"/>
  <c r="X82" i="18"/>
  <c r="N82" i="18"/>
  <c r="L82" i="18"/>
  <c r="B82" i="18"/>
  <c r="T81" i="18"/>
  <c r="Z81" i="18" s="1"/>
  <c r="P81" i="18"/>
  <c r="X81" i="18" s="1"/>
  <c r="H81" i="18"/>
  <c r="D81" i="18"/>
  <c r="L81" i="18" s="1"/>
  <c r="B81" i="18"/>
  <c r="Z80" i="18"/>
  <c r="X80" i="18"/>
  <c r="N80" i="18"/>
  <c r="L80" i="18"/>
  <c r="B80" i="18"/>
  <c r="Z79" i="18"/>
  <c r="X79" i="18"/>
  <c r="N79" i="18"/>
  <c r="L79" i="18"/>
  <c r="B79" i="18"/>
  <c r="Z78" i="18"/>
  <c r="X78" i="18"/>
  <c r="N78" i="18"/>
  <c r="L78" i="18"/>
  <c r="B78" i="18"/>
  <c r="X77" i="18"/>
  <c r="Z77" i="18" s="1"/>
  <c r="L77" i="18"/>
  <c r="N77" i="18" s="1"/>
  <c r="B77" i="18"/>
  <c r="Z76" i="18"/>
  <c r="X76" i="18"/>
  <c r="N76" i="18"/>
  <c r="L76" i="18"/>
  <c r="B76" i="18"/>
  <c r="Z75" i="18"/>
  <c r="X75" i="18"/>
  <c r="L75" i="18"/>
  <c r="N75" i="18" s="1"/>
  <c r="B75" i="18"/>
  <c r="Z74" i="18"/>
  <c r="X74" i="18"/>
  <c r="N74" i="18"/>
  <c r="L74" i="18"/>
  <c r="B74" i="18"/>
  <c r="Z73" i="18"/>
  <c r="X73" i="18"/>
  <c r="N73" i="18"/>
  <c r="L73" i="18"/>
  <c r="B73" i="18"/>
  <c r="Z72" i="18"/>
  <c r="X72" i="18"/>
  <c r="L72" i="18"/>
  <c r="N72" i="18" s="1"/>
  <c r="B72" i="18"/>
  <c r="X71" i="18"/>
  <c r="Z71" i="18" s="1"/>
  <c r="N71" i="18"/>
  <c r="L71" i="18"/>
  <c r="B71" i="18"/>
  <c r="T70" i="18"/>
  <c r="P70" i="18"/>
  <c r="X70" i="18" s="1"/>
  <c r="H70" i="18"/>
  <c r="D70" i="18"/>
  <c r="L70" i="18" s="1"/>
  <c r="N70" i="18" s="1"/>
  <c r="B70" i="18"/>
  <c r="X69" i="18"/>
  <c r="Z69" i="18" s="1"/>
  <c r="N69" i="18"/>
  <c r="L69" i="18"/>
  <c r="J69" i="18"/>
  <c r="B69" i="18"/>
  <c r="Z68" i="18"/>
  <c r="X68" i="18"/>
  <c r="L68" i="18"/>
  <c r="N68" i="18" s="1"/>
  <c r="B68" i="18"/>
  <c r="X67" i="18"/>
  <c r="Z67" i="18" s="1"/>
  <c r="N67" i="18"/>
  <c r="L67" i="18"/>
  <c r="B67" i="18"/>
  <c r="Z66" i="18"/>
  <c r="X66" i="18"/>
  <c r="N66" i="18"/>
  <c r="L66" i="18"/>
  <c r="B66" i="18"/>
  <c r="Z65" i="18"/>
  <c r="X65" i="18"/>
  <c r="N65" i="18"/>
  <c r="L65" i="18"/>
  <c r="B65" i="18"/>
  <c r="X64" i="18"/>
  <c r="Z64" i="18" s="1"/>
  <c r="N64" i="18"/>
  <c r="L64" i="18"/>
  <c r="B64" i="18"/>
  <c r="Z63" i="18"/>
  <c r="X63" i="18"/>
  <c r="L63" i="18"/>
  <c r="N63" i="18" s="1"/>
  <c r="B63" i="18"/>
  <c r="Z62" i="18"/>
  <c r="X62" i="18"/>
  <c r="N62" i="18"/>
  <c r="L62" i="18"/>
  <c r="B62" i="18"/>
  <c r="X61" i="18"/>
  <c r="Z61" i="18" s="1"/>
  <c r="N61" i="18"/>
  <c r="L61" i="18"/>
  <c r="J61" i="18"/>
  <c r="B61" i="18"/>
  <c r="Z60" i="18"/>
  <c r="X60" i="18"/>
  <c r="L60" i="18"/>
  <c r="N60" i="18" s="1"/>
  <c r="J60" i="18"/>
  <c r="B60" i="18"/>
  <c r="T59" i="18"/>
  <c r="Z59" i="18" s="1"/>
  <c r="P59" i="18"/>
  <c r="X59" i="18" s="1"/>
  <c r="H59" i="18"/>
  <c r="D59" i="18"/>
  <c r="B59" i="18"/>
  <c r="T58" i="18" a="1"/>
  <c r="T58" i="18"/>
  <c r="P58" i="18" a="1"/>
  <c r="P58" i="18"/>
  <c r="X58" i="18" s="1"/>
  <c r="Z58" i="18" s="1"/>
  <c r="N58" i="18"/>
  <c r="H58" i="18" a="1"/>
  <c r="H58" i="18"/>
  <c r="D58" i="18" a="1"/>
  <c r="D58" i="18"/>
  <c r="L58" i="18" s="1"/>
  <c r="Z54" i="18"/>
  <c r="X54" i="18"/>
  <c r="N54" i="18"/>
  <c r="L54" i="18"/>
  <c r="B54" i="18"/>
  <c r="Z53" i="18"/>
  <c r="X53" i="18"/>
  <c r="N53" i="18"/>
  <c r="L53" i="18"/>
  <c r="B53" i="18"/>
  <c r="Z52" i="18"/>
  <c r="X52" i="18"/>
  <c r="N52" i="18"/>
  <c r="L52" i="18"/>
  <c r="B52" i="18"/>
  <c r="Z51" i="18"/>
  <c r="X51" i="18"/>
  <c r="N51" i="18"/>
  <c r="L51" i="18"/>
  <c r="B51" i="18"/>
  <c r="Z50" i="18"/>
  <c r="X50" i="18"/>
  <c r="N50" i="18"/>
  <c r="L50" i="18"/>
  <c r="B50" i="18"/>
  <c r="Z49" i="18"/>
  <c r="X49" i="18"/>
  <c r="N49" i="18"/>
  <c r="L49" i="18"/>
  <c r="B49" i="18"/>
  <c r="Z48" i="18"/>
  <c r="X48" i="18"/>
  <c r="N48" i="18"/>
  <c r="L48" i="18"/>
  <c r="J48" i="18"/>
  <c r="B48" i="18"/>
  <c r="Z47" i="18"/>
  <c r="X47" i="18"/>
  <c r="N47" i="18"/>
  <c r="L47" i="18"/>
  <c r="B47" i="18"/>
  <c r="Z46" i="18"/>
  <c r="X46" i="18"/>
  <c r="N46" i="18"/>
  <c r="L46" i="18"/>
  <c r="B46" i="18"/>
  <c r="Z45" i="18"/>
  <c r="X45" i="18"/>
  <c r="N45" i="18"/>
  <c r="L45" i="18"/>
  <c r="B45" i="18"/>
  <c r="Z44" i="18"/>
  <c r="X44" i="18"/>
  <c r="N44" i="18"/>
  <c r="L44" i="18"/>
  <c r="B44" i="18"/>
  <c r="Z43" i="18"/>
  <c r="X43" i="18"/>
  <c r="N43" i="18"/>
  <c r="L43" i="18"/>
  <c r="B43" i="18"/>
  <c r="Z42" i="18"/>
  <c r="X42" i="18"/>
  <c r="N42" i="18"/>
  <c r="L42" i="18"/>
  <c r="B42" i="18"/>
  <c r="Z41" i="18"/>
  <c r="X41" i="18"/>
  <c r="N41" i="18"/>
  <c r="L41" i="18"/>
  <c r="B41" i="18"/>
  <c r="Z40" i="18"/>
  <c r="X40" i="18"/>
  <c r="N40" i="18"/>
  <c r="L40" i="18"/>
  <c r="J40" i="18"/>
  <c r="B40" i="18"/>
  <c r="Z39" i="18"/>
  <c r="X39" i="18"/>
  <c r="N39" i="18"/>
  <c r="L39" i="18"/>
  <c r="B39" i="18"/>
  <c r="Z38" i="18"/>
  <c r="X38" i="18"/>
  <c r="N38" i="18"/>
  <c r="L38" i="18"/>
  <c r="B38" i="18"/>
  <c r="Z37" i="18"/>
  <c r="X37" i="18"/>
  <c r="N37" i="18"/>
  <c r="L37" i="18"/>
  <c r="B37" i="18"/>
  <c r="Z36" i="18"/>
  <c r="X36" i="18"/>
  <c r="N36" i="18"/>
  <c r="L36" i="18"/>
  <c r="B36" i="18"/>
  <c r="Z35" i="18"/>
  <c r="X35" i="18"/>
  <c r="N35" i="18"/>
  <c r="L35" i="18"/>
  <c r="B35" i="18"/>
  <c r="Z34" i="18"/>
  <c r="X34" i="18"/>
  <c r="N34" i="18"/>
  <c r="L34" i="18"/>
  <c r="B34" i="18"/>
  <c r="Z33" i="18"/>
  <c r="X33" i="18"/>
  <c r="N33" i="18"/>
  <c r="L33" i="18"/>
  <c r="B33" i="18"/>
  <c r="Z32" i="18"/>
  <c r="X32" i="18"/>
  <c r="N32" i="18"/>
  <c r="L32" i="18"/>
  <c r="J32" i="18"/>
  <c r="B32" i="18"/>
  <c r="Z31" i="18"/>
  <c r="X31" i="18"/>
  <c r="N31" i="18"/>
  <c r="L31" i="18"/>
  <c r="B31" i="18"/>
  <c r="Z30" i="18"/>
  <c r="X30" i="18"/>
  <c r="N30" i="18"/>
  <c r="L30" i="18"/>
  <c r="B30" i="18"/>
  <c r="Z29" i="18"/>
  <c r="X29" i="18"/>
  <c r="N29" i="18"/>
  <c r="L29" i="18"/>
  <c r="B29" i="18"/>
  <c r="Z28" i="18"/>
  <c r="X28" i="18"/>
  <c r="N28" i="18"/>
  <c r="L28" i="18"/>
  <c r="J28" i="18"/>
  <c r="B28" i="18"/>
  <c r="Z27" i="18"/>
  <c r="X27" i="18"/>
  <c r="N27" i="18"/>
  <c r="L27" i="18"/>
  <c r="B27" i="18"/>
  <c r="Z26" i="18"/>
  <c r="X26" i="18"/>
  <c r="N26" i="18"/>
  <c r="L26" i="18"/>
  <c r="B26" i="18"/>
  <c r="Z25" i="18"/>
  <c r="X25" i="18"/>
  <c r="N25" i="18"/>
  <c r="L25" i="18"/>
  <c r="J25" i="18"/>
  <c r="B25" i="18"/>
  <c r="Z24" i="18"/>
  <c r="X24" i="18"/>
  <c r="N24" i="18"/>
  <c r="L24" i="18"/>
  <c r="J24" i="18"/>
  <c r="B24" i="18"/>
  <c r="Z23" i="18"/>
  <c r="X23" i="18"/>
  <c r="N23" i="18"/>
  <c r="L23" i="18"/>
  <c r="B23" i="18"/>
  <c r="Z22" i="18"/>
  <c r="X22" i="18"/>
  <c r="N22" i="18"/>
  <c r="L22" i="18"/>
  <c r="B22" i="18"/>
  <c r="T21" i="18"/>
  <c r="P21" i="18"/>
  <c r="H21" i="18"/>
  <c r="D21" i="18"/>
  <c r="L21" i="18" s="1"/>
  <c r="N21" i="18" s="1"/>
  <c r="Z19" i="18"/>
  <c r="P19" i="18"/>
  <c r="X19" i="18" s="1"/>
  <c r="N19" i="18"/>
  <c r="D19" i="18"/>
  <c r="L19" i="18" s="1"/>
  <c r="B19" i="18"/>
  <c r="Z18" i="18"/>
  <c r="P18" i="18"/>
  <c r="X18" i="18" s="1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P16" i="18"/>
  <c r="X16" i="18" s="1"/>
  <c r="N16" i="18"/>
  <c r="D16" i="18"/>
  <c r="L16" i="18" s="1"/>
  <c r="B16" i="18"/>
  <c r="Z15" i="18"/>
  <c r="P15" i="18"/>
  <c r="X15" i="18" s="1"/>
  <c r="N15" i="18"/>
  <c r="D15" i="18"/>
  <c r="L15" i="18" s="1"/>
  <c r="B15" i="18"/>
  <c r="Z14" i="18"/>
  <c r="P14" i="18"/>
  <c r="X14" i="18" s="1"/>
  <c r="L14" i="18"/>
  <c r="N14" i="18" s="1"/>
  <c r="D14" i="18"/>
  <c r="B14" i="18"/>
  <c r="X13" i="18"/>
  <c r="Z13" i="18" s="1"/>
  <c r="P13" i="18"/>
  <c r="L13" i="18"/>
  <c r="N13" i="18" s="1"/>
  <c r="D13" i="18"/>
  <c r="B13" i="18"/>
  <c r="T12" i="18"/>
  <c r="V37" i="18" s="1"/>
  <c r="H12" i="18"/>
  <c r="J125" i="18" s="1"/>
  <c r="D4" i="18"/>
  <c r="B39" i="17"/>
  <c r="B38" i="17"/>
  <c r="T34" i="17"/>
  <c r="Z34" i="17" s="1"/>
  <c r="P34" i="17"/>
  <c r="H34" i="17"/>
  <c r="N34" i="17" s="1"/>
  <c r="D34" i="17"/>
  <c r="T33" i="17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P12" i="17"/>
  <c r="R34" i="17" s="1"/>
  <c r="H12" i="17"/>
  <c r="J21" i="17" s="1"/>
  <c r="D12" i="17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0" i="16" s="1"/>
  <c r="P12" i="16"/>
  <c r="R31" i="16" s="1"/>
  <c r="H12" i="16"/>
  <c r="J20" i="16" s="1"/>
  <c r="D12" i="16"/>
  <c r="F36" i="16" s="1"/>
  <c r="D5" i="16"/>
  <c r="D4" i="16"/>
  <c r="X153" i="15"/>
  <c r="Z153" i="15" s="1"/>
  <c r="L153" i="15"/>
  <c r="N153" i="15" s="1"/>
  <c r="J153" i="15"/>
  <c r="Z149" i="15"/>
  <c r="X149" i="15"/>
  <c r="V149" i="15"/>
  <c r="P149" i="15"/>
  <c r="N149" i="15"/>
  <c r="L149" i="15"/>
  <c r="D149" i="15"/>
  <c r="B149" i="15"/>
  <c r="X148" i="15"/>
  <c r="Z148" i="15" s="1"/>
  <c r="V148" i="15"/>
  <c r="P148" i="15"/>
  <c r="N148" i="15"/>
  <c r="L148" i="15"/>
  <c r="J148" i="15"/>
  <c r="D148" i="15"/>
  <c r="B148" i="15"/>
  <c r="Z147" i="15"/>
  <c r="P147" i="15"/>
  <c r="X147" i="15" s="1"/>
  <c r="N147" i="15"/>
  <c r="L147" i="15"/>
  <c r="J147" i="15"/>
  <c r="D147" i="15"/>
  <c r="B147" i="15"/>
  <c r="P146" i="15"/>
  <c r="X146" i="15" s="1"/>
  <c r="Z146" i="15" s="1"/>
  <c r="D146" i="15"/>
  <c r="L146" i="15" s="1"/>
  <c r="N146" i="15" s="1"/>
  <c r="B146" i="15"/>
  <c r="X145" i="15"/>
  <c r="Z145" i="15" s="1"/>
  <c r="P145" i="15"/>
  <c r="P144" i="15" s="1"/>
  <c r="X144" i="15" s="1"/>
  <c r="D145" i="15"/>
  <c r="B145" i="15"/>
  <c r="T144" i="15"/>
  <c r="H144" i="15"/>
  <c r="X142" i="15"/>
  <c r="Z142" i="15" s="1"/>
  <c r="V142" i="15"/>
  <c r="L142" i="15"/>
  <c r="N142" i="15" s="1"/>
  <c r="B142" i="15"/>
  <c r="X141" i="15"/>
  <c r="Z141" i="15" s="1"/>
  <c r="T141" i="15"/>
  <c r="P141" i="15"/>
  <c r="H141" i="15"/>
  <c r="D141" i="15"/>
  <c r="B141" i="15"/>
  <c r="X140" i="15"/>
  <c r="Z140" i="15" s="1"/>
  <c r="N140" i="15"/>
  <c r="L140" i="15"/>
  <c r="B140" i="15"/>
  <c r="Z139" i="15"/>
  <c r="X139" i="15"/>
  <c r="N139" i="15"/>
  <c r="L139" i="15"/>
  <c r="B139" i="15"/>
  <c r="X138" i="15"/>
  <c r="Z138" i="15" s="1"/>
  <c r="V138" i="15"/>
  <c r="L138" i="15"/>
  <c r="N138" i="15" s="1"/>
  <c r="B138" i="15"/>
  <c r="X137" i="15"/>
  <c r="Z137" i="15" s="1"/>
  <c r="T137" i="15"/>
  <c r="P137" i="15"/>
  <c r="H137" i="15"/>
  <c r="D137" i="15"/>
  <c r="B137" i="15"/>
  <c r="X136" i="15"/>
  <c r="Z136" i="15" s="1"/>
  <c r="N136" i="15"/>
  <c r="L136" i="15"/>
  <c r="B136" i="15"/>
  <c r="T135" i="15"/>
  <c r="P135" i="15"/>
  <c r="J135" i="15"/>
  <c r="H135" i="15"/>
  <c r="D135" i="15"/>
  <c r="L135" i="15" s="1"/>
  <c r="N135" i="15" s="1"/>
  <c r="B135" i="15"/>
  <c r="X134" i="15"/>
  <c r="Z134" i="15" s="1"/>
  <c r="L134" i="15"/>
  <c r="N134" i="15" s="1"/>
  <c r="J134" i="15"/>
  <c r="B134" i="15"/>
  <c r="Z133" i="15"/>
  <c r="X133" i="15"/>
  <c r="V133" i="15"/>
  <c r="N133" i="15"/>
  <c r="L133" i="15"/>
  <c r="B133" i="15"/>
  <c r="X132" i="15"/>
  <c r="Z132" i="15" s="1"/>
  <c r="T132" i="15"/>
  <c r="P132" i="15"/>
  <c r="H132" i="15"/>
  <c r="D132" i="15"/>
  <c r="B132" i="15"/>
  <c r="Z131" i="15"/>
  <c r="X131" i="15"/>
  <c r="N131" i="15"/>
  <c r="L131" i="15"/>
  <c r="B131" i="15"/>
  <c r="X130" i="15"/>
  <c r="Z130" i="15" s="1"/>
  <c r="L130" i="15"/>
  <c r="N130" i="15" s="1"/>
  <c r="J130" i="15"/>
  <c r="B130" i="15"/>
  <c r="X129" i="15"/>
  <c r="Z129" i="15" s="1"/>
  <c r="V129" i="15"/>
  <c r="L129" i="15"/>
  <c r="N129" i="15" s="1"/>
  <c r="B129" i="15"/>
  <c r="X128" i="15"/>
  <c r="Z128" i="15" s="1"/>
  <c r="N128" i="15"/>
  <c r="L128" i="15"/>
  <c r="B128" i="15"/>
  <c r="Z127" i="15"/>
  <c r="X127" i="15"/>
  <c r="N127" i="15"/>
  <c r="L127" i="15"/>
  <c r="B127" i="15"/>
  <c r="X126" i="15"/>
  <c r="Z126" i="15" s="1"/>
  <c r="V126" i="15"/>
  <c r="L126" i="15"/>
  <c r="N126" i="15" s="1"/>
  <c r="B126" i="15"/>
  <c r="X125" i="15"/>
  <c r="Z125" i="15" s="1"/>
  <c r="L125" i="15"/>
  <c r="N125" i="15" s="1"/>
  <c r="J125" i="15"/>
  <c r="B125" i="15"/>
  <c r="T124" i="15"/>
  <c r="P124" i="15"/>
  <c r="X124" i="15" s="1"/>
  <c r="Z124" i="15" s="1"/>
  <c r="J124" i="15"/>
  <c r="H124" i="15"/>
  <c r="N124" i="15" s="1"/>
  <c r="D124" i="15"/>
  <c r="L124" i="15" s="1"/>
  <c r="B124" i="15"/>
  <c r="Z123" i="15"/>
  <c r="X123" i="15"/>
  <c r="N123" i="15"/>
  <c r="L123" i="15"/>
  <c r="B123" i="15"/>
  <c r="X122" i="15"/>
  <c r="Z122" i="15" s="1"/>
  <c r="V122" i="15"/>
  <c r="L122" i="15"/>
  <c r="N122" i="15" s="1"/>
  <c r="B122" i="15"/>
  <c r="X121" i="15"/>
  <c r="Z121" i="15" s="1"/>
  <c r="T121" i="15"/>
  <c r="P121" i="15"/>
  <c r="H121" i="15"/>
  <c r="D121" i="15"/>
  <c r="B121" i="15"/>
  <c r="Z120" i="15"/>
  <c r="X120" i="15"/>
  <c r="N120" i="15"/>
  <c r="L120" i="15"/>
  <c r="B120" i="15"/>
  <c r="Z119" i="15"/>
  <c r="X119" i="15"/>
  <c r="N119" i="15"/>
  <c r="L119" i="15"/>
  <c r="B119" i="15"/>
  <c r="X118" i="15"/>
  <c r="Z118" i="15" s="1"/>
  <c r="V118" i="15"/>
  <c r="L118" i="15"/>
  <c r="N118" i="15" s="1"/>
  <c r="B118" i="15"/>
  <c r="X117" i="15"/>
  <c r="Z117" i="15" s="1"/>
  <c r="T117" i="15"/>
  <c r="P117" i="15"/>
  <c r="H117" i="15"/>
  <c r="D117" i="15"/>
  <c r="B117" i="15"/>
  <c r="X116" i="15"/>
  <c r="Z116" i="15" s="1"/>
  <c r="N116" i="15"/>
  <c r="L116" i="15"/>
  <c r="B116" i="15"/>
  <c r="Z115" i="15"/>
  <c r="X115" i="15"/>
  <c r="N115" i="15"/>
  <c r="L115" i="15"/>
  <c r="B115" i="15"/>
  <c r="X114" i="15"/>
  <c r="Z114" i="15" s="1"/>
  <c r="V114" i="15"/>
  <c r="N114" i="15"/>
  <c r="L114" i="15"/>
  <c r="B114" i="15"/>
  <c r="X113" i="15"/>
  <c r="Z113" i="15" s="1"/>
  <c r="L113" i="15"/>
  <c r="N113" i="15" s="1"/>
  <c r="J113" i="15"/>
  <c r="B113" i="15"/>
  <c r="T112" i="15"/>
  <c r="P112" i="15"/>
  <c r="X112" i="15" s="1"/>
  <c r="Z112" i="15" s="1"/>
  <c r="J112" i="15"/>
  <c r="H112" i="15"/>
  <c r="N112" i="15" s="1"/>
  <c r="D112" i="15"/>
  <c r="L112" i="15" s="1"/>
  <c r="B112" i="15"/>
  <c r="Z111" i="15"/>
  <c r="X111" i="15"/>
  <c r="N111" i="15"/>
  <c r="L111" i="15"/>
  <c r="B111" i="15"/>
  <c r="X110" i="15"/>
  <c r="Z110" i="15" s="1"/>
  <c r="V110" i="15"/>
  <c r="L110" i="15"/>
  <c r="N110" i="15" s="1"/>
  <c r="B110" i="15"/>
  <c r="X109" i="15"/>
  <c r="Z109" i="15" s="1"/>
  <c r="L109" i="15"/>
  <c r="N109" i="15" s="1"/>
  <c r="J109" i="15"/>
  <c r="B109" i="15"/>
  <c r="Z108" i="15"/>
  <c r="X108" i="15"/>
  <c r="L108" i="15"/>
  <c r="N108" i="15" s="1"/>
  <c r="B108" i="15"/>
  <c r="T107" i="15"/>
  <c r="P107" i="15"/>
  <c r="X107" i="15" s="1"/>
  <c r="Z107" i="15" s="1"/>
  <c r="L107" i="15"/>
  <c r="N107" i="15" s="1"/>
  <c r="H107" i="15"/>
  <c r="D107" i="15"/>
  <c r="B107" i="15"/>
  <c r="X106" i="15"/>
  <c r="Z106" i="15" s="1"/>
  <c r="V106" i="15"/>
  <c r="L106" i="15"/>
  <c r="N106" i="15" s="1"/>
  <c r="B106" i="15"/>
  <c r="X105" i="15"/>
  <c r="Z105" i="15" s="1"/>
  <c r="T105" i="15"/>
  <c r="P105" i="15"/>
  <c r="H105" i="15"/>
  <c r="D105" i="15"/>
  <c r="B105" i="15"/>
  <c r="X104" i="15"/>
  <c r="Z104" i="15" s="1"/>
  <c r="N104" i="15"/>
  <c r="L104" i="15"/>
  <c r="B104" i="15"/>
  <c r="T103" i="15"/>
  <c r="P103" i="15"/>
  <c r="N103" i="15"/>
  <c r="J103" i="15"/>
  <c r="H103" i="15"/>
  <c r="D103" i="15"/>
  <c r="L103" i="15" s="1"/>
  <c r="B103" i="15"/>
  <c r="X102" i="15"/>
  <c r="Z102" i="15" s="1"/>
  <c r="L102" i="15"/>
  <c r="N102" i="15" s="1"/>
  <c r="J102" i="15"/>
  <c r="B102" i="15"/>
  <c r="V101" i="15"/>
  <c r="T101" i="15"/>
  <c r="P101" i="15"/>
  <c r="X101" i="15" s="1"/>
  <c r="Z101" i="15" s="1"/>
  <c r="H101" i="15"/>
  <c r="D101" i="15"/>
  <c r="L101" i="15" s="1"/>
  <c r="N101" i="15" s="1"/>
  <c r="B101" i="15"/>
  <c r="Z100" i="15"/>
  <c r="X100" i="15"/>
  <c r="L100" i="15"/>
  <c r="N100" i="15" s="1"/>
  <c r="B100" i="15"/>
  <c r="T99" i="15"/>
  <c r="P99" i="15"/>
  <c r="X99" i="15" s="1"/>
  <c r="Z99" i="15" s="1"/>
  <c r="L99" i="15"/>
  <c r="N99" i="15" s="1"/>
  <c r="H99" i="15"/>
  <c r="D99" i="15"/>
  <c r="B99" i="15"/>
  <c r="X98" i="15"/>
  <c r="Z98" i="15" s="1"/>
  <c r="V98" i="15"/>
  <c r="L98" i="15"/>
  <c r="N98" i="15" s="1"/>
  <c r="B98" i="15"/>
  <c r="X97" i="15"/>
  <c r="Z97" i="15" s="1"/>
  <c r="N97" i="15"/>
  <c r="L97" i="15"/>
  <c r="J97" i="15"/>
  <c r="B97" i="15"/>
  <c r="T96" i="15"/>
  <c r="P96" i="15"/>
  <c r="X96" i="15" s="1"/>
  <c r="Z96" i="15" s="1"/>
  <c r="J96" i="15"/>
  <c r="H96" i="15"/>
  <c r="N96" i="15" s="1"/>
  <c r="D96" i="15"/>
  <c r="L96" i="15" s="1"/>
  <c r="B96" i="15"/>
  <c r="Z95" i="15"/>
  <c r="X95" i="15"/>
  <c r="N95" i="15"/>
  <c r="L95" i="15"/>
  <c r="B95" i="15"/>
  <c r="X94" i="15"/>
  <c r="Z94" i="15" s="1"/>
  <c r="V94" i="15"/>
  <c r="L94" i="15"/>
  <c r="N94" i="15" s="1"/>
  <c r="B94" i="15"/>
  <c r="X93" i="15"/>
  <c r="Z93" i="15" s="1"/>
  <c r="T93" i="15"/>
  <c r="P93" i="15"/>
  <c r="H93" i="15"/>
  <c r="D93" i="15"/>
  <c r="B93" i="15"/>
  <c r="X92" i="15"/>
  <c r="Z92" i="15" s="1"/>
  <c r="N92" i="15"/>
  <c r="L92" i="15"/>
  <c r="B92" i="15"/>
  <c r="T91" i="15"/>
  <c r="P91" i="15"/>
  <c r="J91" i="15"/>
  <c r="H91" i="15"/>
  <c r="D91" i="15"/>
  <c r="L91" i="15" s="1"/>
  <c r="N91" i="15" s="1"/>
  <c r="B91" i="15"/>
  <c r="X90" i="15"/>
  <c r="Z90" i="15" s="1"/>
  <c r="L90" i="15"/>
  <c r="N90" i="15" s="1"/>
  <c r="J90" i="15"/>
  <c r="B90" i="15"/>
  <c r="V89" i="15"/>
  <c r="T89" i="15"/>
  <c r="P89" i="15"/>
  <c r="X89" i="15" s="1"/>
  <c r="Z89" i="15" s="1"/>
  <c r="H89" i="15"/>
  <c r="D89" i="15"/>
  <c r="L89" i="15" s="1"/>
  <c r="N89" i="15" s="1"/>
  <c r="B89" i="15"/>
  <c r="Z88" i="15"/>
  <c r="X88" i="15"/>
  <c r="L88" i="15"/>
  <c r="N88" i="15" s="1"/>
  <c r="B88" i="15"/>
  <c r="T87" i="15"/>
  <c r="P87" i="15"/>
  <c r="X87" i="15" s="1"/>
  <c r="Z87" i="15" s="1"/>
  <c r="L87" i="15"/>
  <c r="N87" i="15" s="1"/>
  <c r="J87" i="15"/>
  <c r="H87" i="15"/>
  <c r="D87" i="15"/>
  <c r="B87" i="15"/>
  <c r="Z86" i="15"/>
  <c r="X86" i="15"/>
  <c r="V86" i="15"/>
  <c r="N86" i="15"/>
  <c r="L86" i="15"/>
  <c r="B86" i="15"/>
  <c r="Z85" i="15"/>
  <c r="X85" i="15"/>
  <c r="V85" i="15"/>
  <c r="N85" i="15"/>
  <c r="L85" i="15"/>
  <c r="J85" i="15"/>
  <c r="B85" i="15"/>
  <c r="Z84" i="15"/>
  <c r="T84" i="15"/>
  <c r="P84" i="15"/>
  <c r="X84" i="15" s="1"/>
  <c r="J84" i="15"/>
  <c r="H84" i="15"/>
  <c r="N84" i="15" s="1"/>
  <c r="D84" i="15"/>
  <c r="L84" i="15" s="1"/>
  <c r="B84" i="15"/>
  <c r="Z83" i="15"/>
  <c r="X83" i="15"/>
  <c r="N83" i="15"/>
  <c r="L83" i="15"/>
  <c r="B83" i="15"/>
  <c r="Z82" i="15"/>
  <c r="X82" i="15"/>
  <c r="V82" i="15"/>
  <c r="N82" i="15"/>
  <c r="L82" i="15"/>
  <c r="B82" i="15"/>
  <c r="X81" i="15"/>
  <c r="Z81" i="15" s="1"/>
  <c r="V81" i="15"/>
  <c r="T81" i="15"/>
  <c r="P81" i="15"/>
  <c r="H81" i="15"/>
  <c r="D81" i="15"/>
  <c r="B81" i="15"/>
  <c r="X80" i="15"/>
  <c r="Z80" i="15" s="1"/>
  <c r="N80" i="15"/>
  <c r="L80" i="15"/>
  <c r="B80" i="15"/>
  <c r="T79" i="15"/>
  <c r="P79" i="15"/>
  <c r="J79" i="15"/>
  <c r="H79" i="15"/>
  <c r="D79" i="15"/>
  <c r="L79" i="15" s="1"/>
  <c r="N79" i="15" s="1"/>
  <c r="B79" i="15"/>
  <c r="X78" i="15"/>
  <c r="Z78" i="15" s="1"/>
  <c r="L78" i="15"/>
  <c r="N78" i="15" s="1"/>
  <c r="J78" i="15"/>
  <c r="B78" i="15"/>
  <c r="V77" i="15"/>
  <c r="T77" i="15"/>
  <c r="P77" i="15"/>
  <c r="X77" i="15" s="1"/>
  <c r="Z77" i="15" s="1"/>
  <c r="H77" i="15"/>
  <c r="D77" i="15"/>
  <c r="L77" i="15" s="1"/>
  <c r="N77" i="15" s="1"/>
  <c r="B77" i="15"/>
  <c r="Z76" i="15"/>
  <c r="X76" i="15"/>
  <c r="L76" i="15"/>
  <c r="N76" i="15" s="1"/>
  <c r="B76" i="15"/>
  <c r="T75" i="15"/>
  <c r="P75" i="15"/>
  <c r="X75" i="15" s="1"/>
  <c r="Z75" i="15" s="1"/>
  <c r="L75" i="15"/>
  <c r="N75" i="15" s="1"/>
  <c r="J75" i="15"/>
  <c r="H75" i="15"/>
  <c r="D75" i="15"/>
  <c r="B75" i="15"/>
  <c r="Z74" i="15"/>
  <c r="X74" i="15"/>
  <c r="V74" i="15"/>
  <c r="N74" i="15"/>
  <c r="L74" i="15"/>
  <c r="B74" i="15"/>
  <c r="Z73" i="15"/>
  <c r="X73" i="15"/>
  <c r="V73" i="15"/>
  <c r="N73" i="15"/>
  <c r="L73" i="15"/>
  <c r="J73" i="15"/>
  <c r="B73" i="15"/>
  <c r="Z72" i="15"/>
  <c r="X72" i="15"/>
  <c r="L72" i="15"/>
  <c r="N72" i="15" s="1"/>
  <c r="B72" i="15"/>
  <c r="Z71" i="15"/>
  <c r="X71" i="15"/>
  <c r="N71" i="15"/>
  <c r="L71" i="15"/>
  <c r="B71" i="15"/>
  <c r="Z70" i="15"/>
  <c r="X70" i="15"/>
  <c r="N70" i="15"/>
  <c r="L70" i="15"/>
  <c r="J70" i="15"/>
  <c r="B70" i="15"/>
  <c r="X69" i="15"/>
  <c r="Z69" i="15" s="1"/>
  <c r="V69" i="15"/>
  <c r="L69" i="15"/>
  <c r="N69" i="15" s="1"/>
  <c r="J69" i="15"/>
  <c r="B69" i="15"/>
  <c r="X68" i="15"/>
  <c r="Z68" i="15" s="1"/>
  <c r="N68" i="15"/>
  <c r="L68" i="15"/>
  <c r="B68" i="15"/>
  <c r="Z67" i="15"/>
  <c r="X67" i="15"/>
  <c r="N67" i="15"/>
  <c r="L67" i="15"/>
  <c r="B67" i="15"/>
  <c r="X66" i="15"/>
  <c r="Z66" i="15" s="1"/>
  <c r="V66" i="15"/>
  <c r="L66" i="15"/>
  <c r="N66" i="15" s="1"/>
  <c r="B66" i="15"/>
  <c r="X65" i="15"/>
  <c r="Z65" i="15" s="1"/>
  <c r="V65" i="15"/>
  <c r="L65" i="15"/>
  <c r="N65" i="15" s="1"/>
  <c r="J65" i="15"/>
  <c r="B65" i="15"/>
  <c r="Z64" i="15"/>
  <c r="T64" i="15"/>
  <c r="P64" i="15"/>
  <c r="X64" i="15" s="1"/>
  <c r="J64" i="15"/>
  <c r="H64" i="15"/>
  <c r="D64" i="15"/>
  <c r="L64" i="15" s="1"/>
  <c r="B64" i="15"/>
  <c r="Z63" i="15"/>
  <c r="X63" i="15"/>
  <c r="N63" i="15"/>
  <c r="L63" i="15"/>
  <c r="B63" i="15"/>
  <c r="X62" i="15"/>
  <c r="Z62" i="15" s="1"/>
  <c r="V62" i="15"/>
  <c r="L62" i="15"/>
  <c r="N62" i="15" s="1"/>
  <c r="B62" i="15"/>
  <c r="X61" i="15"/>
  <c r="Z61" i="15" s="1"/>
  <c r="V61" i="15"/>
  <c r="L61" i="15"/>
  <c r="N61" i="15" s="1"/>
  <c r="J61" i="15"/>
  <c r="B61" i="15"/>
  <c r="Z60" i="15"/>
  <c r="X60" i="15"/>
  <c r="N60" i="15"/>
  <c r="L60" i="15"/>
  <c r="B60" i="15"/>
  <c r="Z59" i="15"/>
  <c r="X59" i="15"/>
  <c r="N59" i="15"/>
  <c r="L59" i="15"/>
  <c r="B59" i="15"/>
  <c r="X58" i="15"/>
  <c r="Z58" i="15" s="1"/>
  <c r="L58" i="15"/>
  <c r="N58" i="15" s="1"/>
  <c r="J58" i="15"/>
  <c r="B58" i="15"/>
  <c r="X57" i="15"/>
  <c r="Z57" i="15" s="1"/>
  <c r="V57" i="15"/>
  <c r="L57" i="15"/>
  <c r="N57" i="15" s="1"/>
  <c r="J57" i="15"/>
  <c r="B57" i="15"/>
  <c r="X56" i="15"/>
  <c r="Z56" i="15" s="1"/>
  <c r="N56" i="15"/>
  <c r="L56" i="15"/>
  <c r="B56" i="15"/>
  <c r="Z55" i="15"/>
  <c r="X55" i="15"/>
  <c r="N55" i="15"/>
  <c r="L55" i="15"/>
  <c r="B55" i="15"/>
  <c r="X54" i="15"/>
  <c r="Z54" i="15" s="1"/>
  <c r="V54" i="15"/>
  <c r="L54" i="15"/>
  <c r="N54" i="15" s="1"/>
  <c r="J54" i="15"/>
  <c r="B54" i="15"/>
  <c r="X53" i="15"/>
  <c r="Z53" i="15" s="1"/>
  <c r="V53" i="15"/>
  <c r="T53" i="15"/>
  <c r="P53" i="15"/>
  <c r="H53" i="15"/>
  <c r="D53" i="15"/>
  <c r="L53" i="15" s="1"/>
  <c r="B53" i="15"/>
  <c r="T52" i="15" a="1"/>
  <c r="T52" i="15"/>
  <c r="P52" i="15" a="1"/>
  <c r="P52" i="15"/>
  <c r="H52" i="15" a="1"/>
  <c r="H52" i="15"/>
  <c r="D52" i="15" a="1"/>
  <c r="D52" i="15"/>
  <c r="H50" i="15"/>
  <c r="Z48" i="15"/>
  <c r="X48" i="15"/>
  <c r="N48" i="15"/>
  <c r="L48" i="15"/>
  <c r="B48" i="15"/>
  <c r="Z47" i="15"/>
  <c r="X47" i="15"/>
  <c r="N47" i="15"/>
  <c r="L47" i="15"/>
  <c r="B47" i="15"/>
  <c r="Z46" i="15"/>
  <c r="X46" i="15"/>
  <c r="V46" i="15"/>
  <c r="N46" i="15"/>
  <c r="L46" i="15"/>
  <c r="J46" i="15"/>
  <c r="B46" i="15"/>
  <c r="Z45" i="15"/>
  <c r="X45" i="15"/>
  <c r="V45" i="15"/>
  <c r="N45" i="15"/>
  <c r="L45" i="15"/>
  <c r="J45" i="15"/>
  <c r="B45" i="15"/>
  <c r="Z44" i="15"/>
  <c r="X44" i="15"/>
  <c r="N44" i="15"/>
  <c r="L44" i="15"/>
  <c r="B44" i="15"/>
  <c r="Z43" i="15"/>
  <c r="X43" i="15"/>
  <c r="N43" i="15"/>
  <c r="L43" i="15"/>
  <c r="B43" i="15"/>
  <c r="Z42" i="15"/>
  <c r="X42" i="15"/>
  <c r="V42" i="15"/>
  <c r="N42" i="15"/>
  <c r="L42" i="15"/>
  <c r="J42" i="15"/>
  <c r="B42" i="15"/>
  <c r="Z41" i="15"/>
  <c r="X41" i="15"/>
  <c r="V41" i="15"/>
  <c r="N41" i="15"/>
  <c r="L41" i="15"/>
  <c r="J41" i="15"/>
  <c r="B41" i="15"/>
  <c r="Z40" i="15"/>
  <c r="X40" i="15"/>
  <c r="N40" i="15"/>
  <c r="L40" i="15"/>
  <c r="B40" i="15"/>
  <c r="Z39" i="15"/>
  <c r="X39" i="15"/>
  <c r="N39" i="15"/>
  <c r="L39" i="15"/>
  <c r="J39" i="15"/>
  <c r="B39" i="15"/>
  <c r="Z38" i="15"/>
  <c r="X38" i="15"/>
  <c r="V38" i="15"/>
  <c r="N38" i="15"/>
  <c r="L38" i="15"/>
  <c r="J38" i="15"/>
  <c r="B38" i="15"/>
  <c r="Z37" i="15"/>
  <c r="X37" i="15"/>
  <c r="V37" i="15"/>
  <c r="N37" i="15"/>
  <c r="L37" i="15"/>
  <c r="J37" i="15"/>
  <c r="B37" i="15"/>
  <c r="Z36" i="15"/>
  <c r="X36" i="15"/>
  <c r="N36" i="15"/>
  <c r="L36" i="15"/>
  <c r="B36" i="15"/>
  <c r="Z35" i="15"/>
  <c r="X35" i="15"/>
  <c r="V35" i="15"/>
  <c r="N35" i="15"/>
  <c r="L35" i="15"/>
  <c r="B35" i="15"/>
  <c r="Z34" i="15"/>
  <c r="X34" i="15"/>
  <c r="V34" i="15"/>
  <c r="N34" i="15"/>
  <c r="L34" i="15"/>
  <c r="J34" i="15"/>
  <c r="B34" i="15"/>
  <c r="Z33" i="15"/>
  <c r="X33" i="15"/>
  <c r="V33" i="15"/>
  <c r="N33" i="15"/>
  <c r="L33" i="15"/>
  <c r="J33" i="15"/>
  <c r="B33" i="15"/>
  <c r="Z32" i="15"/>
  <c r="X32" i="15"/>
  <c r="N32" i="15"/>
  <c r="L32" i="15"/>
  <c r="B32" i="15"/>
  <c r="Z31" i="15"/>
  <c r="X31" i="15"/>
  <c r="N31" i="15"/>
  <c r="L31" i="15"/>
  <c r="J31" i="15"/>
  <c r="B31" i="15"/>
  <c r="Z30" i="15"/>
  <c r="X30" i="15"/>
  <c r="V30" i="15"/>
  <c r="N30" i="15"/>
  <c r="L30" i="15"/>
  <c r="J30" i="15"/>
  <c r="B30" i="15"/>
  <c r="Z29" i="15"/>
  <c r="X29" i="15"/>
  <c r="V29" i="15"/>
  <c r="N29" i="15"/>
  <c r="L29" i="15"/>
  <c r="J29" i="15"/>
  <c r="B29" i="15"/>
  <c r="Z28" i="15"/>
  <c r="X28" i="15"/>
  <c r="N28" i="15"/>
  <c r="L28" i="15"/>
  <c r="B28" i="15"/>
  <c r="Z27" i="15"/>
  <c r="X27" i="15"/>
  <c r="V27" i="15"/>
  <c r="N27" i="15"/>
  <c r="L27" i="15"/>
  <c r="B27" i="15"/>
  <c r="Z26" i="15"/>
  <c r="X26" i="15"/>
  <c r="V26" i="15"/>
  <c r="N26" i="15"/>
  <c r="L26" i="15"/>
  <c r="J26" i="15"/>
  <c r="B26" i="15"/>
  <c r="Z25" i="15"/>
  <c r="X25" i="15"/>
  <c r="V25" i="15"/>
  <c r="N25" i="15"/>
  <c r="L25" i="15"/>
  <c r="J25" i="15"/>
  <c r="B25" i="15"/>
  <c r="Z24" i="15"/>
  <c r="X24" i="15"/>
  <c r="N24" i="15"/>
  <c r="L24" i="15"/>
  <c r="B24" i="15"/>
  <c r="Z23" i="15"/>
  <c r="X23" i="15"/>
  <c r="N23" i="15"/>
  <c r="L23" i="15"/>
  <c r="J23" i="15"/>
  <c r="B23" i="15"/>
  <c r="X22" i="15"/>
  <c r="Z22" i="15" s="1"/>
  <c r="V22" i="15"/>
  <c r="L22" i="15"/>
  <c r="N22" i="15" s="1"/>
  <c r="J22" i="15"/>
  <c r="B22" i="15"/>
  <c r="V21" i="15"/>
  <c r="T21" i="15"/>
  <c r="P21" i="15"/>
  <c r="X21" i="15" s="1"/>
  <c r="Z21" i="15" s="1"/>
  <c r="H21" i="15"/>
  <c r="L21" i="15" s="1"/>
  <c r="N21" i="15" s="1"/>
  <c r="D21" i="15"/>
  <c r="Z19" i="15"/>
  <c r="X19" i="15"/>
  <c r="P19" i="15"/>
  <c r="N19" i="15"/>
  <c r="D19" i="15"/>
  <c r="L19" i="15" s="1"/>
  <c r="B19" i="15"/>
  <c r="Z18" i="15"/>
  <c r="P18" i="15"/>
  <c r="X18" i="15" s="1"/>
  <c r="N18" i="15"/>
  <c r="D18" i="15"/>
  <c r="L18" i="15" s="1"/>
  <c r="B18" i="15"/>
  <c r="Z17" i="15"/>
  <c r="P17" i="15"/>
  <c r="X17" i="15" s="1"/>
  <c r="N17" i="15"/>
  <c r="L17" i="15"/>
  <c r="D17" i="15"/>
  <c r="B17" i="15"/>
  <c r="Z16" i="15"/>
  <c r="X16" i="15"/>
  <c r="P16" i="15"/>
  <c r="N16" i="15"/>
  <c r="L16" i="15"/>
  <c r="D16" i="15"/>
  <c r="B16" i="15"/>
  <c r="Z15" i="15"/>
  <c r="P15" i="15"/>
  <c r="X15" i="15" s="1"/>
  <c r="N15" i="15"/>
  <c r="D15" i="15"/>
  <c r="B15" i="15"/>
  <c r="P14" i="15"/>
  <c r="X14" i="15" s="1"/>
  <c r="Z14" i="15" s="1"/>
  <c r="D14" i="15"/>
  <c r="L14" i="15" s="1"/>
  <c r="N14" i="15" s="1"/>
  <c r="B14" i="15"/>
  <c r="P13" i="15"/>
  <c r="X13" i="15" s="1"/>
  <c r="Z13" i="15" s="1"/>
  <c r="L13" i="15"/>
  <c r="N13" i="15" s="1"/>
  <c r="D13" i="15"/>
  <c r="B13" i="15"/>
  <c r="T12" i="15"/>
  <c r="H12" i="15"/>
  <c r="J133" i="15" s="1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D15" i="14"/>
  <c r="T13" i="14"/>
  <c r="Z13" i="14" s="1"/>
  <c r="P13" i="14"/>
  <c r="H13" i="14"/>
  <c r="D13" i="14"/>
  <c r="B13" i="14"/>
  <c r="T12" i="14"/>
  <c r="P12" i="14"/>
  <c r="R20" i="14" s="1"/>
  <c r="H12" i="14"/>
  <c r="J18" i="14" s="1"/>
  <c r="D12" i="14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L13" i="13" s="1"/>
  <c r="B13" i="13"/>
  <c r="T12" i="13"/>
  <c r="V34" i="13" s="1"/>
  <c r="P12" i="13"/>
  <c r="R22" i="13" s="1"/>
  <c r="H12" i="13"/>
  <c r="J21" i="13" s="1"/>
  <c r="D12" i="13"/>
  <c r="D5" i="13"/>
  <c r="D4" i="13"/>
  <c r="X162" i="12"/>
  <c r="Z162" i="12" s="1"/>
  <c r="V162" i="12"/>
  <c r="L162" i="12"/>
  <c r="N162" i="12" s="1"/>
  <c r="Z158" i="12"/>
  <c r="X158" i="12"/>
  <c r="P158" i="12"/>
  <c r="N158" i="12"/>
  <c r="D158" i="12"/>
  <c r="D153" i="12" s="1"/>
  <c r="B158" i="12"/>
  <c r="X157" i="12"/>
  <c r="Z157" i="12" s="1"/>
  <c r="P157" i="12"/>
  <c r="N157" i="12"/>
  <c r="L157" i="12"/>
  <c r="D157" i="12"/>
  <c r="B157" i="12"/>
  <c r="Z156" i="12"/>
  <c r="P156" i="12"/>
  <c r="X156" i="12" s="1"/>
  <c r="N156" i="12"/>
  <c r="L156" i="12"/>
  <c r="D156" i="12"/>
  <c r="B156" i="12"/>
  <c r="Z155" i="12"/>
  <c r="X155" i="12"/>
  <c r="P155" i="12"/>
  <c r="N155" i="12"/>
  <c r="D155" i="12"/>
  <c r="L155" i="12" s="1"/>
  <c r="B155" i="12"/>
  <c r="X154" i="12"/>
  <c r="Z154" i="12" s="1"/>
  <c r="V154" i="12"/>
  <c r="P154" i="12"/>
  <c r="P153" i="12" s="1"/>
  <c r="X153" i="12" s="1"/>
  <c r="N154" i="12"/>
  <c r="L154" i="12"/>
  <c r="D154" i="12"/>
  <c r="B154" i="12"/>
  <c r="V153" i="12"/>
  <c r="T153" i="12"/>
  <c r="Z153" i="12" s="1"/>
  <c r="L153" i="12"/>
  <c r="N153" i="12" s="1"/>
  <c r="H153" i="12"/>
  <c r="X151" i="12"/>
  <c r="Z151" i="12" s="1"/>
  <c r="L151" i="12"/>
  <c r="N151" i="12" s="1"/>
  <c r="B151" i="12"/>
  <c r="V150" i="12"/>
  <c r="T150" i="12"/>
  <c r="P150" i="12"/>
  <c r="X150" i="12" s="1"/>
  <c r="Z150" i="12" s="1"/>
  <c r="H150" i="12"/>
  <c r="D150" i="12"/>
  <c r="L150" i="12" s="1"/>
  <c r="N150" i="12" s="1"/>
  <c r="B150" i="12"/>
  <c r="Z149" i="12"/>
  <c r="X149" i="12"/>
  <c r="L149" i="12"/>
  <c r="N149" i="12" s="1"/>
  <c r="B149" i="12"/>
  <c r="Z148" i="12"/>
  <c r="X148" i="12"/>
  <c r="N148" i="12"/>
  <c r="L148" i="12"/>
  <c r="B148" i="12"/>
  <c r="X147" i="12"/>
  <c r="Z147" i="12" s="1"/>
  <c r="L147" i="12"/>
  <c r="N147" i="12" s="1"/>
  <c r="B147" i="12"/>
  <c r="V146" i="12"/>
  <c r="T146" i="12"/>
  <c r="P146" i="12"/>
  <c r="X146" i="12" s="1"/>
  <c r="Z146" i="12" s="1"/>
  <c r="H146" i="12"/>
  <c r="L146" i="12" s="1"/>
  <c r="N146" i="12" s="1"/>
  <c r="D146" i="12"/>
  <c r="B146" i="12"/>
  <c r="Z145" i="12"/>
  <c r="X145" i="12"/>
  <c r="L145" i="12"/>
  <c r="N145" i="12" s="1"/>
  <c r="B145" i="12"/>
  <c r="T144" i="12"/>
  <c r="X144" i="12" s="1"/>
  <c r="Z144" i="12" s="1"/>
  <c r="P144" i="12"/>
  <c r="L144" i="12"/>
  <c r="N144" i="12" s="1"/>
  <c r="H144" i="12"/>
  <c r="D144" i="12"/>
  <c r="B144" i="12"/>
  <c r="X143" i="12"/>
  <c r="Z143" i="12" s="1"/>
  <c r="V143" i="12"/>
  <c r="L143" i="12"/>
  <c r="N143" i="12" s="1"/>
  <c r="B143" i="12"/>
  <c r="X142" i="12"/>
  <c r="Z142" i="12" s="1"/>
  <c r="L142" i="12"/>
  <c r="N142" i="12" s="1"/>
  <c r="B142" i="12"/>
  <c r="T141" i="12"/>
  <c r="P141" i="12"/>
  <c r="X141" i="12" s="1"/>
  <c r="Z141" i="12" s="1"/>
  <c r="H141" i="12"/>
  <c r="D141" i="12"/>
  <c r="B141" i="12"/>
  <c r="Z140" i="12"/>
  <c r="X140" i="12"/>
  <c r="N140" i="12"/>
  <c r="L140" i="12"/>
  <c r="B140" i="12"/>
  <c r="X139" i="12"/>
  <c r="Z139" i="12" s="1"/>
  <c r="V139" i="12"/>
  <c r="L139" i="12"/>
  <c r="N139" i="12" s="1"/>
  <c r="B139" i="12"/>
  <c r="X138" i="12"/>
  <c r="Z138" i="12" s="1"/>
  <c r="L138" i="12"/>
  <c r="N138" i="12" s="1"/>
  <c r="B138" i="12"/>
  <c r="Z137" i="12"/>
  <c r="X137" i="12"/>
  <c r="L137" i="12"/>
  <c r="N137" i="12" s="1"/>
  <c r="B137" i="12"/>
  <c r="Z136" i="12"/>
  <c r="X136" i="12"/>
  <c r="N136" i="12"/>
  <c r="L136" i="12"/>
  <c r="B136" i="12"/>
  <c r="X135" i="12"/>
  <c r="Z135" i="12" s="1"/>
  <c r="L135" i="12"/>
  <c r="N135" i="12" s="1"/>
  <c r="B135" i="12"/>
  <c r="X134" i="12"/>
  <c r="Z134" i="12" s="1"/>
  <c r="V134" i="12"/>
  <c r="L134" i="12"/>
  <c r="N134" i="12" s="1"/>
  <c r="B134" i="12"/>
  <c r="X133" i="12"/>
  <c r="Z133" i="12" s="1"/>
  <c r="T133" i="12"/>
  <c r="P133" i="12"/>
  <c r="H133" i="12"/>
  <c r="D133" i="12"/>
  <c r="L133" i="12" s="1"/>
  <c r="B133" i="12"/>
  <c r="Z132" i="12"/>
  <c r="X132" i="12"/>
  <c r="N132" i="12"/>
  <c r="L132" i="12"/>
  <c r="B132" i="12"/>
  <c r="X131" i="12"/>
  <c r="Z131" i="12" s="1"/>
  <c r="L131" i="12"/>
  <c r="N131" i="12" s="1"/>
  <c r="J131" i="12"/>
  <c r="B131" i="12"/>
  <c r="V130" i="12"/>
  <c r="T130" i="12"/>
  <c r="P130" i="12"/>
  <c r="X130" i="12" s="1"/>
  <c r="Z130" i="12" s="1"/>
  <c r="H130" i="12"/>
  <c r="D130" i="12"/>
  <c r="L130" i="12" s="1"/>
  <c r="N130" i="12" s="1"/>
  <c r="B130" i="12"/>
  <c r="Z129" i="12"/>
  <c r="X129" i="12"/>
  <c r="L129" i="12"/>
  <c r="N129" i="12" s="1"/>
  <c r="B129" i="12"/>
  <c r="Z128" i="12"/>
  <c r="X128" i="12"/>
  <c r="N128" i="12"/>
  <c r="L128" i="12"/>
  <c r="B128" i="12"/>
  <c r="X127" i="12"/>
  <c r="Z127" i="12" s="1"/>
  <c r="L127" i="12"/>
  <c r="N127" i="12" s="1"/>
  <c r="B127" i="12"/>
  <c r="X126" i="12"/>
  <c r="Z126" i="12" s="1"/>
  <c r="V126" i="12"/>
  <c r="L126" i="12"/>
  <c r="N126" i="12" s="1"/>
  <c r="B126" i="12"/>
  <c r="X125" i="12"/>
  <c r="T125" i="12"/>
  <c r="Z125" i="12" s="1"/>
  <c r="P125" i="12"/>
  <c r="H125" i="12"/>
  <c r="D125" i="12"/>
  <c r="B125" i="12"/>
  <c r="Z124" i="12"/>
  <c r="X124" i="12"/>
  <c r="N124" i="12"/>
  <c r="L124" i="12"/>
  <c r="B124" i="12"/>
  <c r="X123" i="12"/>
  <c r="Z123" i="12" s="1"/>
  <c r="L123" i="12"/>
  <c r="N123" i="12" s="1"/>
  <c r="B123" i="12"/>
  <c r="X122" i="12"/>
  <c r="Z122" i="12" s="1"/>
  <c r="V122" i="12"/>
  <c r="N122" i="12"/>
  <c r="L122" i="12"/>
  <c r="B122" i="12"/>
  <c r="X121" i="12"/>
  <c r="Z121" i="12" s="1"/>
  <c r="N121" i="12"/>
  <c r="L121" i="12"/>
  <c r="B121" i="12"/>
  <c r="T120" i="12"/>
  <c r="P120" i="12"/>
  <c r="H120" i="12"/>
  <c r="D120" i="12"/>
  <c r="L120" i="12" s="1"/>
  <c r="N120" i="12" s="1"/>
  <c r="B120" i="12"/>
  <c r="X119" i="12"/>
  <c r="Z119" i="12" s="1"/>
  <c r="L119" i="12"/>
  <c r="N119" i="12" s="1"/>
  <c r="B119" i="12"/>
  <c r="X118" i="12"/>
  <c r="Z118" i="12" s="1"/>
  <c r="V118" i="12"/>
  <c r="L118" i="12"/>
  <c r="N118" i="12" s="1"/>
  <c r="B118" i="12"/>
  <c r="X117" i="12"/>
  <c r="Z117" i="12" s="1"/>
  <c r="N117" i="12"/>
  <c r="L117" i="12"/>
  <c r="B117" i="12"/>
  <c r="Z116" i="12"/>
  <c r="X116" i="12"/>
  <c r="N116" i="12"/>
  <c r="L116" i="12"/>
  <c r="B116" i="12"/>
  <c r="V115" i="12"/>
  <c r="T115" i="12"/>
  <c r="P115" i="12"/>
  <c r="L115" i="12"/>
  <c r="N115" i="12" s="1"/>
  <c r="H115" i="12"/>
  <c r="D115" i="12"/>
  <c r="B115" i="12"/>
  <c r="X114" i="12"/>
  <c r="Z114" i="12" s="1"/>
  <c r="V114" i="12"/>
  <c r="L114" i="12"/>
  <c r="N114" i="12" s="1"/>
  <c r="B114" i="12"/>
  <c r="X113" i="12"/>
  <c r="T113" i="12"/>
  <c r="Z113" i="12" s="1"/>
  <c r="P113" i="12"/>
  <c r="H113" i="12"/>
  <c r="D113" i="12"/>
  <c r="L113" i="12" s="1"/>
  <c r="B113" i="12"/>
  <c r="Z112" i="12"/>
  <c r="X112" i="12"/>
  <c r="N112" i="12"/>
  <c r="L112" i="12"/>
  <c r="B112" i="12"/>
  <c r="T111" i="12"/>
  <c r="P111" i="12"/>
  <c r="N111" i="12"/>
  <c r="H111" i="12"/>
  <c r="D111" i="12"/>
  <c r="L111" i="12" s="1"/>
  <c r="B111" i="12"/>
  <c r="X110" i="12"/>
  <c r="Z110" i="12" s="1"/>
  <c r="L110" i="12"/>
  <c r="N110" i="12" s="1"/>
  <c r="B110" i="12"/>
  <c r="T109" i="12"/>
  <c r="P109" i="12"/>
  <c r="X109" i="12" s="1"/>
  <c r="Z109" i="12" s="1"/>
  <c r="L109" i="12"/>
  <c r="J109" i="12"/>
  <c r="H109" i="12"/>
  <c r="N109" i="12" s="1"/>
  <c r="D109" i="12"/>
  <c r="B109" i="12"/>
  <c r="Z108" i="12"/>
  <c r="X108" i="12"/>
  <c r="N108" i="12"/>
  <c r="L108" i="12"/>
  <c r="B108" i="12"/>
  <c r="V107" i="12"/>
  <c r="T107" i="12"/>
  <c r="P107" i="12"/>
  <c r="H107" i="12"/>
  <c r="D107" i="12"/>
  <c r="L107" i="12" s="1"/>
  <c r="B107" i="12"/>
  <c r="X106" i="12"/>
  <c r="Z106" i="12" s="1"/>
  <c r="V106" i="12"/>
  <c r="L106" i="12"/>
  <c r="N106" i="12" s="1"/>
  <c r="B106" i="12"/>
  <c r="T105" i="12"/>
  <c r="P105" i="12"/>
  <c r="X105" i="12" s="1"/>
  <c r="H105" i="12"/>
  <c r="D105" i="12"/>
  <c r="B105" i="12"/>
  <c r="Z104" i="12"/>
  <c r="X104" i="12"/>
  <c r="N104" i="12"/>
  <c r="L104" i="12"/>
  <c r="B104" i="12"/>
  <c r="X103" i="12"/>
  <c r="Z103" i="12" s="1"/>
  <c r="N103" i="12"/>
  <c r="L103" i="12"/>
  <c r="J103" i="12"/>
  <c r="B103" i="12"/>
  <c r="V102" i="12"/>
  <c r="T102" i="12"/>
  <c r="P102" i="12"/>
  <c r="X102" i="12" s="1"/>
  <c r="Z102" i="12" s="1"/>
  <c r="N102" i="12"/>
  <c r="H102" i="12"/>
  <c r="L102" i="12" s="1"/>
  <c r="D102" i="12"/>
  <c r="B102" i="12"/>
  <c r="Z101" i="12"/>
  <c r="X101" i="12"/>
  <c r="L101" i="12"/>
  <c r="N101" i="12" s="1"/>
  <c r="B101" i="12"/>
  <c r="Z100" i="12"/>
  <c r="X100" i="12"/>
  <c r="N100" i="12"/>
  <c r="L100" i="12"/>
  <c r="B100" i="12"/>
  <c r="T99" i="12"/>
  <c r="P99" i="12"/>
  <c r="X99" i="12" s="1"/>
  <c r="L99" i="12"/>
  <c r="N99" i="12" s="1"/>
  <c r="H99" i="12"/>
  <c r="D99" i="12"/>
  <c r="B99" i="12"/>
  <c r="X98" i="12"/>
  <c r="Z98" i="12" s="1"/>
  <c r="V98" i="12"/>
  <c r="L98" i="12"/>
  <c r="N98" i="12" s="1"/>
  <c r="B98" i="12"/>
  <c r="X97" i="12"/>
  <c r="Z97" i="12" s="1"/>
  <c r="T97" i="12"/>
  <c r="P97" i="12"/>
  <c r="H97" i="12"/>
  <c r="D97" i="12"/>
  <c r="B97" i="12"/>
  <c r="Z96" i="12"/>
  <c r="X96" i="12"/>
  <c r="N96" i="12"/>
  <c r="L96" i="12"/>
  <c r="B96" i="12"/>
  <c r="T95" i="12"/>
  <c r="V95" i="12" s="1"/>
  <c r="P95" i="12"/>
  <c r="L95" i="12"/>
  <c r="H95" i="12"/>
  <c r="D95" i="12"/>
  <c r="B95" i="12"/>
  <c r="X94" i="12"/>
  <c r="Z94" i="12" s="1"/>
  <c r="V94" i="12"/>
  <c r="L94" i="12"/>
  <c r="N94" i="12" s="1"/>
  <c r="B94" i="12"/>
  <c r="T93" i="12"/>
  <c r="P93" i="12"/>
  <c r="X93" i="12" s="1"/>
  <c r="H93" i="12"/>
  <c r="D93" i="12"/>
  <c r="B93" i="12"/>
  <c r="Z92" i="12"/>
  <c r="X92" i="12"/>
  <c r="N92" i="12"/>
  <c r="L92" i="12"/>
  <c r="B92" i="12"/>
  <c r="Z91" i="12"/>
  <c r="X91" i="12"/>
  <c r="N91" i="12"/>
  <c r="L91" i="12"/>
  <c r="B91" i="12"/>
  <c r="Z90" i="12"/>
  <c r="V90" i="12"/>
  <c r="T90" i="12"/>
  <c r="P90" i="12"/>
  <c r="X90" i="12" s="1"/>
  <c r="N90" i="12"/>
  <c r="H90" i="12"/>
  <c r="L90" i="12" s="1"/>
  <c r="D90" i="12"/>
  <c r="B90" i="12"/>
  <c r="Z89" i="12"/>
  <c r="X89" i="12"/>
  <c r="L89" i="12"/>
  <c r="N89" i="12" s="1"/>
  <c r="B89" i="12"/>
  <c r="Z88" i="12"/>
  <c r="X88" i="12"/>
  <c r="N88" i="12"/>
  <c r="L88" i="12"/>
  <c r="B88" i="12"/>
  <c r="T87" i="12"/>
  <c r="P87" i="12"/>
  <c r="X87" i="12" s="1"/>
  <c r="H87" i="12"/>
  <c r="D87" i="12"/>
  <c r="L87" i="12" s="1"/>
  <c r="N87" i="12" s="1"/>
  <c r="B87" i="12"/>
  <c r="X86" i="12"/>
  <c r="Z86" i="12" s="1"/>
  <c r="V86" i="12"/>
  <c r="L86" i="12"/>
  <c r="N86" i="12" s="1"/>
  <c r="B86" i="12"/>
  <c r="T85" i="12"/>
  <c r="P85" i="12"/>
  <c r="X85" i="12" s="1"/>
  <c r="Z85" i="12" s="1"/>
  <c r="H85" i="12"/>
  <c r="D85" i="12"/>
  <c r="B85" i="12"/>
  <c r="Z84" i="12"/>
  <c r="X84" i="12"/>
  <c r="V84" i="12"/>
  <c r="N84" i="12"/>
  <c r="L84" i="12"/>
  <c r="B84" i="12"/>
  <c r="T83" i="12"/>
  <c r="P83" i="12"/>
  <c r="L83" i="12"/>
  <c r="H83" i="12"/>
  <c r="D83" i="12"/>
  <c r="B83" i="12"/>
  <c r="X82" i="12"/>
  <c r="Z82" i="12" s="1"/>
  <c r="V82" i="12"/>
  <c r="L82" i="12"/>
  <c r="N82" i="12" s="1"/>
  <c r="B82" i="12"/>
  <c r="T81" i="12"/>
  <c r="P81" i="12"/>
  <c r="X81" i="12" s="1"/>
  <c r="H81" i="12"/>
  <c r="D81" i="12"/>
  <c r="B81" i="12"/>
  <c r="Z80" i="12"/>
  <c r="X80" i="12"/>
  <c r="N80" i="12"/>
  <c r="L80" i="12"/>
  <c r="B80" i="12"/>
  <c r="Z79" i="12"/>
  <c r="X79" i="12"/>
  <c r="N79" i="12"/>
  <c r="L79" i="12"/>
  <c r="B79" i="12"/>
  <c r="X78" i="12"/>
  <c r="Z78" i="12" s="1"/>
  <c r="V78" i="12"/>
  <c r="L78" i="12"/>
  <c r="N78" i="12" s="1"/>
  <c r="B78" i="12"/>
  <c r="X77" i="12"/>
  <c r="Z77" i="12" s="1"/>
  <c r="L77" i="12"/>
  <c r="N77" i="12" s="1"/>
  <c r="B77" i="12"/>
  <c r="Z76" i="12"/>
  <c r="X76" i="12"/>
  <c r="V76" i="12"/>
  <c r="N76" i="12"/>
  <c r="L76" i="12"/>
  <c r="B76" i="12"/>
  <c r="X75" i="12"/>
  <c r="Z75" i="12" s="1"/>
  <c r="V75" i="12"/>
  <c r="L75" i="12"/>
  <c r="N75" i="12" s="1"/>
  <c r="B75" i="12"/>
  <c r="X74" i="12"/>
  <c r="Z74" i="12" s="1"/>
  <c r="V74" i="12"/>
  <c r="L74" i="12"/>
  <c r="N74" i="12" s="1"/>
  <c r="B74" i="12"/>
  <c r="Z73" i="12"/>
  <c r="X73" i="12"/>
  <c r="N73" i="12"/>
  <c r="L73" i="12"/>
  <c r="B73" i="12"/>
  <c r="Z72" i="12"/>
  <c r="X72" i="12"/>
  <c r="N72" i="12"/>
  <c r="L72" i="12"/>
  <c r="B72" i="12"/>
  <c r="X71" i="12"/>
  <c r="Z71" i="12" s="1"/>
  <c r="L71" i="12"/>
  <c r="N71" i="12" s="1"/>
  <c r="B71" i="12"/>
  <c r="V70" i="12"/>
  <c r="T70" i="12"/>
  <c r="P70" i="12"/>
  <c r="X70" i="12" s="1"/>
  <c r="Z70" i="12" s="1"/>
  <c r="N70" i="12"/>
  <c r="H70" i="12"/>
  <c r="D70" i="12"/>
  <c r="L70" i="12" s="1"/>
  <c r="B70" i="12"/>
  <c r="X69" i="12"/>
  <c r="Z69" i="12" s="1"/>
  <c r="L69" i="12"/>
  <c r="N69" i="12" s="1"/>
  <c r="B69" i="12"/>
  <c r="Z68" i="12"/>
  <c r="X68" i="12"/>
  <c r="N68" i="12"/>
  <c r="L68" i="12"/>
  <c r="B68" i="12"/>
  <c r="X67" i="12"/>
  <c r="Z67" i="12" s="1"/>
  <c r="L67" i="12"/>
  <c r="N67" i="12" s="1"/>
  <c r="B67" i="12"/>
  <c r="Z66" i="12"/>
  <c r="X66" i="12"/>
  <c r="V66" i="12"/>
  <c r="N66" i="12"/>
  <c r="L66" i="12"/>
  <c r="B66" i="12"/>
  <c r="Z65" i="12"/>
  <c r="X65" i="12"/>
  <c r="N65" i="12"/>
  <c r="L65" i="12"/>
  <c r="B65" i="12"/>
  <c r="Z64" i="12"/>
  <c r="X64" i="12"/>
  <c r="V64" i="12"/>
  <c r="N64" i="12"/>
  <c r="L64" i="12"/>
  <c r="B64" i="12"/>
  <c r="X63" i="12"/>
  <c r="Z63" i="12" s="1"/>
  <c r="V63" i="12"/>
  <c r="L63" i="12"/>
  <c r="N63" i="12" s="1"/>
  <c r="B63" i="12"/>
  <c r="X62" i="12"/>
  <c r="Z62" i="12" s="1"/>
  <c r="V62" i="12"/>
  <c r="L62" i="12"/>
  <c r="N62" i="12" s="1"/>
  <c r="B62" i="12"/>
  <c r="Z61" i="12"/>
  <c r="X61" i="12"/>
  <c r="L61" i="12"/>
  <c r="N61" i="12" s="1"/>
  <c r="B61" i="12"/>
  <c r="Z60" i="12"/>
  <c r="X60" i="12"/>
  <c r="N60" i="12"/>
  <c r="L60" i="12"/>
  <c r="B60" i="12"/>
  <c r="T59" i="12"/>
  <c r="P59" i="12"/>
  <c r="X59" i="12" s="1"/>
  <c r="L59" i="12"/>
  <c r="N59" i="12" s="1"/>
  <c r="H59" i="12"/>
  <c r="D59" i="12"/>
  <c r="B59" i="12"/>
  <c r="V58" i="12"/>
  <c r="T58" i="12" a="1"/>
  <c r="T58" i="12"/>
  <c r="P58" i="12" a="1"/>
  <c r="P58" i="12" s="1"/>
  <c r="X58" i="12" s="1"/>
  <c r="Z58" i="12" s="1"/>
  <c r="L58" i="12"/>
  <c r="H58" i="12" a="1"/>
  <c r="H58" i="12" s="1"/>
  <c r="D58" i="12" a="1"/>
  <c r="D58" i="12" s="1"/>
  <c r="H56" i="12"/>
  <c r="H160" i="12" s="1"/>
  <c r="H164" i="12" s="1"/>
  <c r="Z54" i="12"/>
  <c r="X54" i="12"/>
  <c r="V54" i="12"/>
  <c r="N54" i="12"/>
  <c r="L54" i="12"/>
  <c r="B54" i="12"/>
  <c r="Z53" i="12"/>
  <c r="X53" i="12"/>
  <c r="N53" i="12"/>
  <c r="L53" i="12"/>
  <c r="B53" i="12"/>
  <c r="Z52" i="12"/>
  <c r="X52" i="12"/>
  <c r="V52" i="12"/>
  <c r="N52" i="12"/>
  <c r="L52" i="12"/>
  <c r="B52" i="12"/>
  <c r="Z51" i="12"/>
  <c r="X51" i="12"/>
  <c r="V51" i="12"/>
  <c r="N51" i="12"/>
  <c r="L51" i="12"/>
  <c r="B51" i="12"/>
  <c r="Z50" i="12"/>
  <c r="X50" i="12"/>
  <c r="V50" i="12"/>
  <c r="N50" i="12"/>
  <c r="L50" i="12"/>
  <c r="B50" i="12"/>
  <c r="Z49" i="12"/>
  <c r="X49" i="12"/>
  <c r="N49" i="12"/>
  <c r="L49" i="12"/>
  <c r="B49" i="12"/>
  <c r="Z48" i="12"/>
  <c r="X48" i="12"/>
  <c r="N48" i="12"/>
  <c r="L48" i="12"/>
  <c r="B48" i="12"/>
  <c r="Z47" i="12"/>
  <c r="X47" i="12"/>
  <c r="N47" i="12"/>
  <c r="L47" i="12"/>
  <c r="B47" i="12"/>
  <c r="Z46" i="12"/>
  <c r="X46" i="12"/>
  <c r="V46" i="12"/>
  <c r="N46" i="12"/>
  <c r="L46" i="12"/>
  <c r="B46" i="12"/>
  <c r="Z45" i="12"/>
  <c r="X45" i="12"/>
  <c r="N45" i="12"/>
  <c r="L45" i="12"/>
  <c r="B45" i="12"/>
  <c r="Z44" i="12"/>
  <c r="X44" i="12"/>
  <c r="V44" i="12"/>
  <c r="N44" i="12"/>
  <c r="L44" i="12"/>
  <c r="B44" i="12"/>
  <c r="Z43" i="12"/>
  <c r="X43" i="12"/>
  <c r="V43" i="12"/>
  <c r="N43" i="12"/>
  <c r="L43" i="12"/>
  <c r="B43" i="12"/>
  <c r="Z42" i="12"/>
  <c r="X42" i="12"/>
  <c r="V42" i="12"/>
  <c r="N42" i="12"/>
  <c r="L42" i="12"/>
  <c r="B42" i="12"/>
  <c r="Z41" i="12"/>
  <c r="X41" i="12"/>
  <c r="N41" i="12"/>
  <c r="L41" i="12"/>
  <c r="B41" i="12"/>
  <c r="Z40" i="12"/>
  <c r="X40" i="12"/>
  <c r="N40" i="12"/>
  <c r="L40" i="12"/>
  <c r="B40" i="12"/>
  <c r="Z39" i="12"/>
  <c r="X39" i="12"/>
  <c r="N39" i="12"/>
  <c r="L39" i="12"/>
  <c r="B39" i="12"/>
  <c r="Z38" i="12"/>
  <c r="X38" i="12"/>
  <c r="V38" i="12"/>
  <c r="N38" i="12"/>
  <c r="L38" i="12"/>
  <c r="B38" i="12"/>
  <c r="Z37" i="12"/>
  <c r="X37" i="12"/>
  <c r="N37" i="12"/>
  <c r="L37" i="12"/>
  <c r="B37" i="12"/>
  <c r="Z36" i="12"/>
  <c r="X36" i="12"/>
  <c r="V36" i="12"/>
  <c r="N36" i="12"/>
  <c r="L36" i="12"/>
  <c r="B36" i="12"/>
  <c r="Z35" i="12"/>
  <c r="X35" i="12"/>
  <c r="V35" i="12"/>
  <c r="N35" i="12"/>
  <c r="L35" i="12"/>
  <c r="B35" i="12"/>
  <c r="Z34" i="12"/>
  <c r="X34" i="12"/>
  <c r="V34" i="12"/>
  <c r="N34" i="12"/>
  <c r="L34" i="12"/>
  <c r="B34" i="12"/>
  <c r="Z33" i="12"/>
  <c r="X33" i="12"/>
  <c r="N33" i="12"/>
  <c r="L33" i="12"/>
  <c r="B33" i="12"/>
  <c r="Z32" i="12"/>
  <c r="X32" i="12"/>
  <c r="N32" i="12"/>
  <c r="L32" i="12"/>
  <c r="B32" i="12"/>
  <c r="Z31" i="12"/>
  <c r="X31" i="12"/>
  <c r="N31" i="12"/>
  <c r="L31" i="12"/>
  <c r="J31" i="12"/>
  <c r="B31" i="12"/>
  <c r="Z30" i="12"/>
  <c r="X30" i="12"/>
  <c r="V30" i="12"/>
  <c r="N30" i="12"/>
  <c r="L30" i="12"/>
  <c r="J30" i="12"/>
  <c r="B30" i="12"/>
  <c r="Z29" i="12"/>
  <c r="X29" i="12"/>
  <c r="N29" i="12"/>
  <c r="L29" i="12"/>
  <c r="B29" i="12"/>
  <c r="Z28" i="12"/>
  <c r="X28" i="12"/>
  <c r="V28" i="12"/>
  <c r="N28" i="12"/>
  <c r="L28" i="12"/>
  <c r="B28" i="12"/>
  <c r="Z27" i="12"/>
  <c r="X27" i="12"/>
  <c r="V27" i="12"/>
  <c r="N27" i="12"/>
  <c r="L27" i="12"/>
  <c r="B27" i="12"/>
  <c r="X26" i="12"/>
  <c r="Z26" i="12" s="1"/>
  <c r="V26" i="12"/>
  <c r="L26" i="12"/>
  <c r="N26" i="12" s="1"/>
  <c r="B26" i="12"/>
  <c r="T25" i="12"/>
  <c r="P25" i="12"/>
  <c r="X25" i="12" s="1"/>
  <c r="Z25" i="12" s="1"/>
  <c r="J25" i="12"/>
  <c r="H25" i="12"/>
  <c r="D25" i="12"/>
  <c r="Z23" i="12"/>
  <c r="X23" i="12"/>
  <c r="P23" i="12"/>
  <c r="N23" i="12"/>
  <c r="D23" i="12"/>
  <c r="L23" i="12" s="1"/>
  <c r="B23" i="12"/>
  <c r="Z22" i="12"/>
  <c r="P22" i="12"/>
  <c r="X22" i="12" s="1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X19" i="12"/>
  <c r="P19" i="12"/>
  <c r="N19" i="12"/>
  <c r="D19" i="12"/>
  <c r="L19" i="12" s="1"/>
  <c r="B19" i="12"/>
  <c r="Z18" i="12"/>
  <c r="X18" i="12"/>
  <c r="P18" i="12"/>
  <c r="N18" i="12"/>
  <c r="D18" i="12"/>
  <c r="L18" i="12" s="1"/>
  <c r="B18" i="12"/>
  <c r="Z17" i="12"/>
  <c r="P17" i="12"/>
  <c r="X17" i="12" s="1"/>
  <c r="N17" i="12"/>
  <c r="L17" i="12"/>
  <c r="D17" i="12"/>
  <c r="B17" i="12"/>
  <c r="P16" i="12"/>
  <c r="X16" i="12" s="1"/>
  <c r="Z16" i="12" s="1"/>
  <c r="L16" i="12"/>
  <c r="N16" i="12" s="1"/>
  <c r="D16" i="12"/>
  <c r="B16" i="12"/>
  <c r="Z15" i="12"/>
  <c r="X15" i="12"/>
  <c r="P15" i="12"/>
  <c r="N15" i="12"/>
  <c r="D15" i="12"/>
  <c r="L15" i="12" s="1"/>
  <c r="B15" i="12"/>
  <c r="Z14" i="12"/>
  <c r="P14" i="12"/>
  <c r="N14" i="12"/>
  <c r="D14" i="12"/>
  <c r="L14" i="12" s="1"/>
  <c r="B14" i="12"/>
  <c r="P13" i="12"/>
  <c r="X13" i="12" s="1"/>
  <c r="Z13" i="12" s="1"/>
  <c r="N13" i="12"/>
  <c r="D13" i="12"/>
  <c r="L13" i="12" s="1"/>
  <c r="B13" i="12"/>
  <c r="T12" i="12"/>
  <c r="H12" i="12"/>
  <c r="J147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P13" i="11"/>
  <c r="H13" i="11"/>
  <c r="N13" i="11" s="1"/>
  <c r="D13" i="11"/>
  <c r="B13" i="11"/>
  <c r="T12" i="11"/>
  <c r="V34" i="11" s="1"/>
  <c r="P12" i="11"/>
  <c r="H12" i="11"/>
  <c r="N12" i="11" s="1"/>
  <c r="D12" i="11"/>
  <c r="F20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36" i="10" s="1"/>
  <c r="P12" i="10"/>
  <c r="R29" i="10" s="1"/>
  <c r="H12" i="10"/>
  <c r="J24" i="10" s="1"/>
  <c r="D12" i="10"/>
  <c r="F20" i="10" s="1"/>
  <c r="D5" i="10"/>
  <c r="D4" i="10"/>
  <c r="Z99" i="9"/>
  <c r="X99" i="9"/>
  <c r="N99" i="9"/>
  <c r="L99" i="9"/>
  <c r="F99" i="9"/>
  <c r="T95" i="9"/>
  <c r="Z95" i="9" s="1"/>
  <c r="P95" i="9"/>
  <c r="H95" i="9"/>
  <c r="N95" i="9" s="1"/>
  <c r="D95" i="9"/>
  <c r="L95" i="9" s="1"/>
  <c r="X93" i="9"/>
  <c r="Z93" i="9" s="1"/>
  <c r="N93" i="9"/>
  <c r="L93" i="9"/>
  <c r="F93" i="9"/>
  <c r="B93" i="9"/>
  <c r="Z92" i="9"/>
  <c r="X92" i="9"/>
  <c r="N92" i="9"/>
  <c r="L92" i="9"/>
  <c r="J92" i="9"/>
  <c r="B92" i="9"/>
  <c r="T91" i="9"/>
  <c r="Z91" i="9" s="1"/>
  <c r="P91" i="9"/>
  <c r="X91" i="9" s="1"/>
  <c r="N91" i="9"/>
  <c r="H91" i="9"/>
  <c r="D91" i="9"/>
  <c r="L91" i="9" s="1"/>
  <c r="B91" i="9"/>
  <c r="Z90" i="9"/>
  <c r="X90" i="9"/>
  <c r="L90" i="9"/>
  <c r="N90" i="9" s="1"/>
  <c r="B90" i="9"/>
  <c r="T89" i="9"/>
  <c r="P89" i="9"/>
  <c r="X89" i="9" s="1"/>
  <c r="Z89" i="9" s="1"/>
  <c r="L89" i="9"/>
  <c r="H89" i="9"/>
  <c r="N89" i="9" s="1"/>
  <c r="D89" i="9"/>
  <c r="B89" i="9"/>
  <c r="Z88" i="9"/>
  <c r="X88" i="9"/>
  <c r="V88" i="9"/>
  <c r="N88" i="9"/>
  <c r="L88" i="9"/>
  <c r="B88" i="9"/>
  <c r="X87" i="9"/>
  <c r="Z87" i="9" s="1"/>
  <c r="N87" i="9"/>
  <c r="L87" i="9"/>
  <c r="B87" i="9"/>
  <c r="T86" i="9"/>
  <c r="P86" i="9"/>
  <c r="X86" i="9" s="1"/>
  <c r="Z86" i="9" s="1"/>
  <c r="J86" i="9"/>
  <c r="H86" i="9"/>
  <c r="L86" i="9" s="1"/>
  <c r="N86" i="9" s="1"/>
  <c r="D86" i="9"/>
  <c r="B86" i="9"/>
  <c r="Z85" i="9"/>
  <c r="X85" i="9"/>
  <c r="R85" i="9"/>
  <c r="N85" i="9"/>
  <c r="L85" i="9"/>
  <c r="B85" i="9"/>
  <c r="Z84" i="9"/>
  <c r="X84" i="9"/>
  <c r="V84" i="9"/>
  <c r="N84" i="9"/>
  <c r="L84" i="9"/>
  <c r="B84" i="9"/>
  <c r="X83" i="9"/>
  <c r="Z83" i="9" s="1"/>
  <c r="N83" i="9"/>
  <c r="L83" i="9"/>
  <c r="B83" i="9"/>
  <c r="Z82" i="9"/>
  <c r="X82" i="9"/>
  <c r="L82" i="9"/>
  <c r="N82" i="9" s="1"/>
  <c r="B82" i="9"/>
  <c r="Z81" i="9"/>
  <c r="X81" i="9"/>
  <c r="N81" i="9"/>
  <c r="L81" i="9"/>
  <c r="F81" i="9"/>
  <c r="B81" i="9"/>
  <c r="Z80" i="9"/>
  <c r="X80" i="9"/>
  <c r="N80" i="9"/>
  <c r="L80" i="9"/>
  <c r="J80" i="9"/>
  <c r="B80" i="9"/>
  <c r="T79" i="9"/>
  <c r="Z79" i="9" s="1"/>
  <c r="P79" i="9"/>
  <c r="X79" i="9" s="1"/>
  <c r="H79" i="9"/>
  <c r="D79" i="9"/>
  <c r="L79" i="9" s="1"/>
  <c r="N79" i="9" s="1"/>
  <c r="B79" i="9"/>
  <c r="Z78" i="9"/>
  <c r="X78" i="9"/>
  <c r="N78" i="9"/>
  <c r="L78" i="9"/>
  <c r="B78" i="9"/>
  <c r="X77" i="9"/>
  <c r="Z77" i="9" s="1"/>
  <c r="N77" i="9"/>
  <c r="L77" i="9"/>
  <c r="F77" i="9"/>
  <c r="B77" i="9"/>
  <c r="T76" i="9"/>
  <c r="P76" i="9"/>
  <c r="X76" i="9" s="1"/>
  <c r="Z76" i="9" s="1"/>
  <c r="N76" i="9"/>
  <c r="H76" i="9"/>
  <c r="D76" i="9"/>
  <c r="L76" i="9" s="1"/>
  <c r="B76" i="9"/>
  <c r="X75" i="9"/>
  <c r="Z75" i="9" s="1"/>
  <c r="N75" i="9"/>
  <c r="L75" i="9"/>
  <c r="B75" i="9"/>
  <c r="Z74" i="9"/>
  <c r="X74" i="9"/>
  <c r="L74" i="9"/>
  <c r="N74" i="9" s="1"/>
  <c r="B74" i="9"/>
  <c r="T73" i="9"/>
  <c r="P73" i="9"/>
  <c r="X73" i="9" s="1"/>
  <c r="Z73" i="9" s="1"/>
  <c r="L73" i="9"/>
  <c r="H73" i="9"/>
  <c r="N73" i="9" s="1"/>
  <c r="D73" i="9"/>
  <c r="B73" i="9"/>
  <c r="Z72" i="9"/>
  <c r="X72" i="9"/>
  <c r="V72" i="9"/>
  <c r="N72" i="9"/>
  <c r="L72" i="9"/>
  <c r="B72" i="9"/>
  <c r="X71" i="9"/>
  <c r="Z71" i="9" s="1"/>
  <c r="N71" i="9"/>
  <c r="L71" i="9"/>
  <c r="B71" i="9"/>
  <c r="Z70" i="9"/>
  <c r="X70" i="9"/>
  <c r="N70" i="9"/>
  <c r="L70" i="9"/>
  <c r="B70" i="9"/>
  <c r="X69" i="9"/>
  <c r="Z69" i="9" s="1"/>
  <c r="L69" i="9"/>
  <c r="N69" i="9" s="1"/>
  <c r="F69" i="9"/>
  <c r="B69" i="9"/>
  <c r="T68" i="9"/>
  <c r="P68" i="9"/>
  <c r="X68" i="9" s="1"/>
  <c r="Z68" i="9" s="1"/>
  <c r="H68" i="9"/>
  <c r="D68" i="9"/>
  <c r="L68" i="9" s="1"/>
  <c r="N68" i="9" s="1"/>
  <c r="B68" i="9"/>
  <c r="X67" i="9"/>
  <c r="Z67" i="9" s="1"/>
  <c r="N67" i="9"/>
  <c r="L67" i="9"/>
  <c r="B67" i="9"/>
  <c r="Z66" i="9"/>
  <c r="X66" i="9"/>
  <c r="L66" i="9"/>
  <c r="N66" i="9" s="1"/>
  <c r="B66" i="9"/>
  <c r="X65" i="9"/>
  <c r="Z65" i="9" s="1"/>
  <c r="N65" i="9"/>
  <c r="L65" i="9"/>
  <c r="F65" i="9"/>
  <c r="B65" i="9"/>
  <c r="Z64" i="9"/>
  <c r="X64" i="9"/>
  <c r="N64" i="9"/>
  <c r="L64" i="9"/>
  <c r="J64" i="9"/>
  <c r="B64" i="9"/>
  <c r="T63" i="9"/>
  <c r="Z63" i="9" s="1"/>
  <c r="P63" i="9"/>
  <c r="X63" i="9" s="1"/>
  <c r="H63" i="9"/>
  <c r="D63" i="9"/>
  <c r="L63" i="9" s="1"/>
  <c r="N63" i="9" s="1"/>
  <c r="B63" i="9"/>
  <c r="Z62" i="9"/>
  <c r="X62" i="9"/>
  <c r="L62" i="9"/>
  <c r="N62" i="9" s="1"/>
  <c r="B62" i="9"/>
  <c r="T61" i="9"/>
  <c r="P61" i="9"/>
  <c r="X61" i="9" s="1"/>
  <c r="Z61" i="9" s="1"/>
  <c r="L61" i="9"/>
  <c r="H61" i="9"/>
  <c r="N61" i="9" s="1"/>
  <c r="D61" i="9"/>
  <c r="B61" i="9"/>
  <c r="Z60" i="9"/>
  <c r="X60" i="9"/>
  <c r="V60" i="9"/>
  <c r="N60" i="9"/>
  <c r="L60" i="9"/>
  <c r="B60" i="9"/>
  <c r="X59" i="9"/>
  <c r="T59" i="9"/>
  <c r="Z59" i="9" s="1"/>
  <c r="P59" i="9"/>
  <c r="H59" i="9"/>
  <c r="N59" i="9" s="1"/>
  <c r="D59" i="9"/>
  <c r="B59" i="9"/>
  <c r="X58" i="9"/>
  <c r="Z58" i="9" s="1"/>
  <c r="N58" i="9"/>
  <c r="L58" i="9"/>
  <c r="B58" i="9"/>
  <c r="T57" i="9"/>
  <c r="P57" i="9"/>
  <c r="H57" i="9"/>
  <c r="N57" i="9" s="1"/>
  <c r="D57" i="9"/>
  <c r="L57" i="9" s="1"/>
  <c r="B57" i="9"/>
  <c r="Z56" i="9"/>
  <c r="X56" i="9"/>
  <c r="N56" i="9"/>
  <c r="L56" i="9"/>
  <c r="J56" i="9"/>
  <c r="B56" i="9"/>
  <c r="T55" i="9"/>
  <c r="Z55" i="9" s="1"/>
  <c r="P55" i="9"/>
  <c r="X55" i="9" s="1"/>
  <c r="H55" i="9"/>
  <c r="D55" i="9"/>
  <c r="L55" i="9" s="1"/>
  <c r="N55" i="9" s="1"/>
  <c r="B55" i="9"/>
  <c r="Z54" i="9"/>
  <c r="X54" i="9"/>
  <c r="L54" i="9"/>
  <c r="N54" i="9" s="1"/>
  <c r="B54" i="9"/>
  <c r="T53" i="9"/>
  <c r="P53" i="9"/>
  <c r="X53" i="9" s="1"/>
  <c r="Z53" i="9" s="1"/>
  <c r="L53" i="9"/>
  <c r="H53" i="9"/>
  <c r="N53" i="9" s="1"/>
  <c r="D53" i="9"/>
  <c r="B53" i="9"/>
  <c r="Z52" i="9"/>
  <c r="X52" i="9"/>
  <c r="V52" i="9"/>
  <c r="N52" i="9"/>
  <c r="L52" i="9"/>
  <c r="B52" i="9"/>
  <c r="X51" i="9"/>
  <c r="T51" i="9"/>
  <c r="Z51" i="9" s="1"/>
  <c r="P51" i="9"/>
  <c r="H51" i="9"/>
  <c r="D51" i="9"/>
  <c r="B51" i="9"/>
  <c r="X50" i="9"/>
  <c r="Z50" i="9" s="1"/>
  <c r="N50" i="9"/>
  <c r="L50" i="9"/>
  <c r="B50" i="9"/>
  <c r="X49" i="9"/>
  <c r="Z49" i="9" s="1"/>
  <c r="R49" i="9"/>
  <c r="L49" i="9"/>
  <c r="N49" i="9" s="1"/>
  <c r="B49" i="9"/>
  <c r="V48" i="9"/>
  <c r="T48" i="9"/>
  <c r="X48" i="9" s="1"/>
  <c r="Z48" i="9" s="1"/>
  <c r="P48" i="9"/>
  <c r="L48" i="9"/>
  <c r="H48" i="9"/>
  <c r="N48" i="9" s="1"/>
  <c r="F48" i="9"/>
  <c r="D48" i="9"/>
  <c r="B48" i="9"/>
  <c r="Z47" i="9"/>
  <c r="X47" i="9"/>
  <c r="L47" i="9"/>
  <c r="N47" i="9" s="1"/>
  <c r="B47" i="9"/>
  <c r="T46" i="9"/>
  <c r="Z46" i="9" s="1"/>
  <c r="R46" i="9"/>
  <c r="P46" i="9"/>
  <c r="X46" i="9" s="1"/>
  <c r="H46" i="9"/>
  <c r="D46" i="9"/>
  <c r="L46" i="9" s="1"/>
  <c r="N46" i="9" s="1"/>
  <c r="B46" i="9"/>
  <c r="X45" i="9"/>
  <c r="Z45" i="9" s="1"/>
  <c r="L45" i="9"/>
  <c r="N45" i="9" s="1"/>
  <c r="F45" i="9"/>
  <c r="B45" i="9"/>
  <c r="T44" i="9"/>
  <c r="P44" i="9"/>
  <c r="X44" i="9" s="1"/>
  <c r="Z44" i="9" s="1"/>
  <c r="H44" i="9"/>
  <c r="D44" i="9"/>
  <c r="L44" i="9" s="1"/>
  <c r="N44" i="9" s="1"/>
  <c r="B44" i="9"/>
  <c r="X43" i="9"/>
  <c r="Z43" i="9" s="1"/>
  <c r="N43" i="9"/>
  <c r="L43" i="9"/>
  <c r="F43" i="9"/>
  <c r="B43" i="9"/>
  <c r="T42" i="9"/>
  <c r="P42" i="9"/>
  <c r="X42" i="9" s="1"/>
  <c r="Z42" i="9" s="1"/>
  <c r="J42" i="9"/>
  <c r="H42" i="9"/>
  <c r="L42" i="9" s="1"/>
  <c r="N42" i="9" s="1"/>
  <c r="D42" i="9"/>
  <c r="B42" i="9"/>
  <c r="Z41" i="9"/>
  <c r="X41" i="9"/>
  <c r="R41" i="9"/>
  <c r="N41" i="9"/>
  <c r="L41" i="9"/>
  <c r="B41" i="9"/>
  <c r="Z40" i="9"/>
  <c r="X40" i="9"/>
  <c r="V40" i="9"/>
  <c r="N40" i="9"/>
  <c r="L40" i="9"/>
  <c r="B40" i="9"/>
  <c r="X39" i="9"/>
  <c r="Z39" i="9" s="1"/>
  <c r="N39" i="9"/>
  <c r="L39" i="9"/>
  <c r="F39" i="9"/>
  <c r="B39" i="9"/>
  <c r="Z38" i="9"/>
  <c r="X38" i="9"/>
  <c r="N38" i="9"/>
  <c r="L38" i="9"/>
  <c r="B38" i="9"/>
  <c r="Z37" i="9"/>
  <c r="X37" i="9"/>
  <c r="N37" i="9"/>
  <c r="L37" i="9"/>
  <c r="F37" i="9"/>
  <c r="B37" i="9"/>
  <c r="Z36" i="9"/>
  <c r="X36" i="9"/>
  <c r="N36" i="9"/>
  <c r="L36" i="9"/>
  <c r="J36" i="9"/>
  <c r="B36" i="9"/>
  <c r="Z35" i="9"/>
  <c r="X35" i="9"/>
  <c r="L35" i="9"/>
  <c r="N35" i="9" s="1"/>
  <c r="B35" i="9"/>
  <c r="Z34" i="9"/>
  <c r="X34" i="9"/>
  <c r="N34" i="9"/>
  <c r="L34" i="9"/>
  <c r="B34" i="9"/>
  <c r="X33" i="9"/>
  <c r="Z33" i="9" s="1"/>
  <c r="R33" i="9"/>
  <c r="L33" i="9"/>
  <c r="N33" i="9" s="1"/>
  <c r="B33" i="9"/>
  <c r="Z32" i="9"/>
  <c r="X32" i="9"/>
  <c r="V32" i="9"/>
  <c r="N32" i="9"/>
  <c r="L32" i="9"/>
  <c r="F32" i="9"/>
  <c r="B32" i="9"/>
  <c r="X31" i="9"/>
  <c r="T31" i="9"/>
  <c r="Z31" i="9" s="1"/>
  <c r="P31" i="9"/>
  <c r="H31" i="9"/>
  <c r="D31" i="9"/>
  <c r="B31" i="9"/>
  <c r="X30" i="9"/>
  <c r="Z30" i="9" s="1"/>
  <c r="N30" i="9"/>
  <c r="L30" i="9"/>
  <c r="B30" i="9"/>
  <c r="X29" i="9"/>
  <c r="Z29" i="9" s="1"/>
  <c r="R29" i="9"/>
  <c r="L29" i="9"/>
  <c r="N29" i="9" s="1"/>
  <c r="B29" i="9"/>
  <c r="Z28" i="9"/>
  <c r="X28" i="9"/>
  <c r="V28" i="9"/>
  <c r="N28" i="9"/>
  <c r="L28" i="9"/>
  <c r="F28" i="9"/>
  <c r="B28" i="9"/>
  <c r="X27" i="9"/>
  <c r="Z27" i="9" s="1"/>
  <c r="N27" i="9"/>
  <c r="L27" i="9"/>
  <c r="F27" i="9"/>
  <c r="B27" i="9"/>
  <c r="Z26" i="9"/>
  <c r="X26" i="9"/>
  <c r="N26" i="9"/>
  <c r="L26" i="9"/>
  <c r="B26" i="9"/>
  <c r="X25" i="9"/>
  <c r="Z25" i="9" s="1"/>
  <c r="L25" i="9"/>
  <c r="N25" i="9" s="1"/>
  <c r="F25" i="9"/>
  <c r="B25" i="9"/>
  <c r="Z24" i="9"/>
  <c r="X24" i="9"/>
  <c r="N24" i="9"/>
  <c r="L24" i="9"/>
  <c r="J24" i="9"/>
  <c r="F24" i="9"/>
  <c r="B24" i="9"/>
  <c r="Z23" i="9"/>
  <c r="X23" i="9"/>
  <c r="L23" i="9"/>
  <c r="N23" i="9" s="1"/>
  <c r="F23" i="9"/>
  <c r="B23" i="9"/>
  <c r="X22" i="9"/>
  <c r="Z22" i="9" s="1"/>
  <c r="N22" i="9"/>
  <c r="L22" i="9"/>
  <c r="B22" i="9"/>
  <c r="X21" i="9"/>
  <c r="Z21" i="9" s="1"/>
  <c r="R21" i="9"/>
  <c r="L21" i="9"/>
  <c r="N21" i="9" s="1"/>
  <c r="B21" i="9"/>
  <c r="Z20" i="9"/>
  <c r="X20" i="9"/>
  <c r="V20" i="9"/>
  <c r="N20" i="9"/>
  <c r="L20" i="9"/>
  <c r="F20" i="9"/>
  <c r="B20" i="9"/>
  <c r="X19" i="9"/>
  <c r="T19" i="9"/>
  <c r="Z19" i="9" s="1"/>
  <c r="P19" i="9"/>
  <c r="H19" i="9"/>
  <c r="F19" i="9"/>
  <c r="D19" i="9"/>
  <c r="B19" i="9"/>
  <c r="T18" i="9" a="1"/>
  <c r="T18" i="9"/>
  <c r="P18" i="9" a="1"/>
  <c r="P18" i="9" s="1"/>
  <c r="X18" i="9" s="1"/>
  <c r="H18" i="9" a="1"/>
  <c r="H18" i="9"/>
  <c r="F18" i="9"/>
  <c r="D18" i="9" a="1"/>
  <c r="D18" i="9" s="1"/>
  <c r="L18" i="9" s="1"/>
  <c r="R16" i="9"/>
  <c r="F16" i="9"/>
  <c r="D16" i="9"/>
  <c r="D97" i="9" s="1"/>
  <c r="Z14" i="9"/>
  <c r="V14" i="9"/>
  <c r="T14" i="9"/>
  <c r="P14" i="9"/>
  <c r="X14" i="9" s="1"/>
  <c r="N14" i="9"/>
  <c r="L14" i="9"/>
  <c r="J14" i="9"/>
  <c r="H14" i="9"/>
  <c r="F14" i="9"/>
  <c r="D14" i="9"/>
  <c r="T12" i="9"/>
  <c r="V92" i="9" s="1"/>
  <c r="P12" i="9"/>
  <c r="R99" i="9" s="1"/>
  <c r="N12" i="9"/>
  <c r="H12" i="9"/>
  <c r="J88" i="9" s="1"/>
  <c r="D12" i="9"/>
  <c r="F85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0" i="8" s="1"/>
  <c r="P12" i="8"/>
  <c r="R22" i="8" s="1"/>
  <c r="H12" i="8"/>
  <c r="J24" i="8" s="1"/>
  <c r="D12" i="8"/>
  <c r="F20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0" i="7" s="1"/>
  <c r="P12" i="7"/>
  <c r="R36" i="7" s="1"/>
  <c r="H12" i="7"/>
  <c r="J34" i="7" s="1"/>
  <c r="D12" i="7"/>
  <c r="F22" i="7" s="1"/>
  <c r="D5" i="7"/>
  <c r="D4" i="7"/>
  <c r="T29" i="6"/>
  <c r="P29" i="6"/>
  <c r="X29" i="6" s="1"/>
  <c r="L29" i="6"/>
  <c r="N29" i="6" s="1"/>
  <c r="H29" i="6"/>
  <c r="D29" i="6"/>
  <c r="X28" i="6"/>
  <c r="T28" i="6"/>
  <c r="Z28" i="6" s="1"/>
  <c r="P28" i="6"/>
  <c r="H28" i="6"/>
  <c r="D28" i="6"/>
  <c r="L28" i="6" s="1"/>
  <c r="Z24" i="6"/>
  <c r="X24" i="6"/>
  <c r="R24" i="6"/>
  <c r="N24" i="6"/>
  <c r="L24" i="6"/>
  <c r="T20" i="6"/>
  <c r="Z20" i="6" s="1"/>
  <c r="P20" i="6"/>
  <c r="X20" i="6" s="1"/>
  <c r="N20" i="6"/>
  <c r="L20" i="6"/>
  <c r="H20" i="6"/>
  <c r="D20" i="6"/>
  <c r="X18" i="6"/>
  <c r="T18" i="6"/>
  <c r="Z18" i="6" s="1"/>
  <c r="P18" i="6"/>
  <c r="J18" i="6"/>
  <c r="H18" i="6"/>
  <c r="N18" i="6" s="1"/>
  <c r="D18" i="6"/>
  <c r="L18" i="6" s="1"/>
  <c r="P16" i="6"/>
  <c r="P22" i="6" s="1"/>
  <c r="X14" i="6"/>
  <c r="V14" i="6"/>
  <c r="T14" i="6"/>
  <c r="T16" i="6" s="1"/>
  <c r="P14" i="6"/>
  <c r="J14" i="6"/>
  <c r="H14" i="6"/>
  <c r="N14" i="6" s="1"/>
  <c r="D14" i="6"/>
  <c r="L14" i="6" s="1"/>
  <c r="T12" i="6"/>
  <c r="V29" i="6" s="1"/>
  <c r="P12" i="6"/>
  <c r="X12" i="6" s="1"/>
  <c r="N12" i="6"/>
  <c r="L12" i="6"/>
  <c r="H12" i="6"/>
  <c r="H16" i="6" s="1"/>
  <c r="D12" i="6"/>
  <c r="F29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34" i="5" s="1"/>
  <c r="P12" i="5"/>
  <c r="H12" i="5"/>
  <c r="J21" i="5" s="1"/>
  <c r="D12" i="5"/>
  <c r="F34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20" i="4" s="1"/>
  <c r="P12" i="4"/>
  <c r="R22" i="4" s="1"/>
  <c r="H12" i="4"/>
  <c r="J24" i="4" s="1"/>
  <c r="D12" i="4"/>
  <c r="F20" i="4" s="1"/>
  <c r="D5" i="4"/>
  <c r="D4" i="4"/>
  <c r="T183" i="3"/>
  <c r="P183" i="3"/>
  <c r="X183" i="3" s="1"/>
  <c r="Z183" i="3" s="1"/>
  <c r="N183" i="3"/>
  <c r="L183" i="3"/>
  <c r="H183" i="3"/>
  <c r="D183" i="3"/>
  <c r="T182" i="3"/>
  <c r="X182" i="3" s="1"/>
  <c r="Z182" i="3" s="1"/>
  <c r="P182" i="3"/>
  <c r="H182" i="3"/>
  <c r="N182" i="3" s="1"/>
  <c r="D182" i="3"/>
  <c r="L182" i="3" s="1"/>
  <c r="Z178" i="3"/>
  <c r="X178" i="3"/>
  <c r="N178" i="3"/>
  <c r="L178" i="3"/>
  <c r="Z174" i="3"/>
  <c r="P174" i="3"/>
  <c r="X174" i="3" s="1"/>
  <c r="N174" i="3"/>
  <c r="L174" i="3"/>
  <c r="D174" i="3"/>
  <c r="B174" i="3"/>
  <c r="Z173" i="3"/>
  <c r="X173" i="3"/>
  <c r="P173" i="3"/>
  <c r="N173" i="3"/>
  <c r="D173" i="3"/>
  <c r="L173" i="3" s="1"/>
  <c r="B173" i="3"/>
  <c r="Z172" i="3"/>
  <c r="X172" i="3"/>
  <c r="P172" i="3"/>
  <c r="L172" i="3"/>
  <c r="N172" i="3" s="1"/>
  <c r="D172" i="3"/>
  <c r="B172" i="3"/>
  <c r="Z171" i="3"/>
  <c r="P171" i="3"/>
  <c r="X171" i="3" s="1"/>
  <c r="N171" i="3"/>
  <c r="L171" i="3"/>
  <c r="D171" i="3"/>
  <c r="B171" i="3"/>
  <c r="P170" i="3"/>
  <c r="X170" i="3" s="1"/>
  <c r="Z170" i="3" s="1"/>
  <c r="D170" i="3"/>
  <c r="L170" i="3" s="1"/>
  <c r="N170" i="3" s="1"/>
  <c r="B170" i="3"/>
  <c r="X169" i="3"/>
  <c r="Z169" i="3" s="1"/>
  <c r="P169" i="3"/>
  <c r="J169" i="3"/>
  <c r="D169" i="3"/>
  <c r="L169" i="3" s="1"/>
  <c r="N169" i="3" s="1"/>
  <c r="B169" i="3"/>
  <c r="Z168" i="3"/>
  <c r="P168" i="3"/>
  <c r="X168" i="3" s="1"/>
  <c r="N168" i="3"/>
  <c r="L168" i="3"/>
  <c r="D168" i="3"/>
  <c r="B168" i="3"/>
  <c r="Z167" i="3"/>
  <c r="X167" i="3"/>
  <c r="P167" i="3"/>
  <c r="P166" i="3" s="1"/>
  <c r="X166" i="3" s="1"/>
  <c r="Z166" i="3" s="1"/>
  <c r="N167" i="3"/>
  <c r="D167" i="3"/>
  <c r="L167" i="3" s="1"/>
  <c r="B167" i="3"/>
  <c r="T166" i="3"/>
  <c r="H166" i="3"/>
  <c r="Z164" i="3"/>
  <c r="X164" i="3"/>
  <c r="N164" i="3"/>
  <c r="L164" i="3"/>
  <c r="B164" i="3"/>
  <c r="X163" i="3"/>
  <c r="T163" i="3"/>
  <c r="Z163" i="3" s="1"/>
  <c r="P163" i="3"/>
  <c r="H163" i="3"/>
  <c r="N163" i="3" s="1"/>
  <c r="D163" i="3"/>
  <c r="L163" i="3" s="1"/>
  <c r="B163" i="3"/>
  <c r="X162" i="3"/>
  <c r="Z162" i="3" s="1"/>
  <c r="N162" i="3"/>
  <c r="L162" i="3"/>
  <c r="B162" i="3"/>
  <c r="X161" i="3"/>
  <c r="Z161" i="3" s="1"/>
  <c r="L161" i="3"/>
  <c r="N161" i="3" s="1"/>
  <c r="B161" i="3"/>
  <c r="Z160" i="3"/>
  <c r="X160" i="3"/>
  <c r="N160" i="3"/>
  <c r="L160" i="3"/>
  <c r="B160" i="3"/>
  <c r="X159" i="3"/>
  <c r="T159" i="3"/>
  <c r="Z159" i="3" s="1"/>
  <c r="P159" i="3"/>
  <c r="H159" i="3"/>
  <c r="N159" i="3" s="1"/>
  <c r="D159" i="3"/>
  <c r="L159" i="3" s="1"/>
  <c r="B159" i="3"/>
  <c r="X158" i="3"/>
  <c r="Z158" i="3" s="1"/>
  <c r="N158" i="3"/>
  <c r="L158" i="3"/>
  <c r="B158" i="3"/>
  <c r="T157" i="3"/>
  <c r="P157" i="3"/>
  <c r="X157" i="3" s="1"/>
  <c r="H157" i="3"/>
  <c r="D157" i="3"/>
  <c r="L157" i="3" s="1"/>
  <c r="B157" i="3"/>
  <c r="Z156" i="3"/>
  <c r="X156" i="3"/>
  <c r="N156" i="3"/>
  <c r="L156" i="3"/>
  <c r="J156" i="3"/>
  <c r="B156" i="3"/>
  <c r="Z155" i="3"/>
  <c r="X155" i="3"/>
  <c r="L155" i="3"/>
  <c r="N155" i="3" s="1"/>
  <c r="B155" i="3"/>
  <c r="T154" i="3"/>
  <c r="P154" i="3"/>
  <c r="X154" i="3" s="1"/>
  <c r="Z154" i="3" s="1"/>
  <c r="N154" i="3"/>
  <c r="L154" i="3"/>
  <c r="H154" i="3"/>
  <c r="D154" i="3"/>
  <c r="B154" i="3"/>
  <c r="X153" i="3"/>
  <c r="Z153" i="3" s="1"/>
  <c r="L153" i="3"/>
  <c r="N153" i="3" s="1"/>
  <c r="B153" i="3"/>
  <c r="Z152" i="3"/>
  <c r="X152" i="3"/>
  <c r="N152" i="3"/>
  <c r="L152" i="3"/>
  <c r="J152" i="3"/>
  <c r="B152" i="3"/>
  <c r="Z151" i="3"/>
  <c r="X151" i="3"/>
  <c r="L151" i="3"/>
  <c r="N151" i="3" s="1"/>
  <c r="B151" i="3"/>
  <c r="X150" i="3"/>
  <c r="Z150" i="3" s="1"/>
  <c r="N150" i="3"/>
  <c r="L150" i="3"/>
  <c r="B150" i="3"/>
  <c r="X149" i="3"/>
  <c r="Z149" i="3" s="1"/>
  <c r="L149" i="3"/>
  <c r="N149" i="3" s="1"/>
  <c r="B149" i="3"/>
  <c r="Z148" i="3"/>
  <c r="X148" i="3"/>
  <c r="N148" i="3"/>
  <c r="L148" i="3"/>
  <c r="B148" i="3"/>
  <c r="X147" i="3"/>
  <c r="Z147" i="3" s="1"/>
  <c r="N147" i="3"/>
  <c r="L147" i="3"/>
  <c r="B147" i="3"/>
  <c r="Z146" i="3"/>
  <c r="X146" i="3"/>
  <c r="L146" i="3"/>
  <c r="N146" i="3" s="1"/>
  <c r="B146" i="3"/>
  <c r="X145" i="3"/>
  <c r="Z145" i="3" s="1"/>
  <c r="L145" i="3"/>
  <c r="N145" i="3" s="1"/>
  <c r="B145" i="3"/>
  <c r="Z144" i="3"/>
  <c r="X144" i="3"/>
  <c r="N144" i="3"/>
  <c r="L144" i="3"/>
  <c r="J144" i="3"/>
  <c r="B144" i="3"/>
  <c r="T143" i="3"/>
  <c r="P143" i="3"/>
  <c r="X143" i="3" s="1"/>
  <c r="L143" i="3"/>
  <c r="N143" i="3" s="1"/>
  <c r="H143" i="3"/>
  <c r="D143" i="3"/>
  <c r="B143" i="3"/>
  <c r="Z142" i="3"/>
  <c r="X142" i="3"/>
  <c r="L142" i="3"/>
  <c r="N142" i="3" s="1"/>
  <c r="B142" i="3"/>
  <c r="X141" i="3"/>
  <c r="Z141" i="3" s="1"/>
  <c r="L141" i="3"/>
  <c r="N141" i="3" s="1"/>
  <c r="B141" i="3"/>
  <c r="T140" i="3"/>
  <c r="P140" i="3"/>
  <c r="X140" i="3" s="1"/>
  <c r="Z140" i="3" s="1"/>
  <c r="H140" i="3"/>
  <c r="D140" i="3"/>
  <c r="L140" i="3" s="1"/>
  <c r="N140" i="3" s="1"/>
  <c r="B140" i="3"/>
  <c r="X139" i="3"/>
  <c r="Z139" i="3" s="1"/>
  <c r="L139" i="3"/>
  <c r="N139" i="3" s="1"/>
  <c r="B139" i="3"/>
  <c r="Z138" i="3"/>
  <c r="X138" i="3"/>
  <c r="L138" i="3"/>
  <c r="N138" i="3" s="1"/>
  <c r="B138" i="3"/>
  <c r="X137" i="3"/>
  <c r="Z137" i="3" s="1"/>
  <c r="L137" i="3"/>
  <c r="N137" i="3" s="1"/>
  <c r="B137" i="3"/>
  <c r="Z136" i="3"/>
  <c r="X136" i="3"/>
  <c r="N136" i="3"/>
  <c r="L136" i="3"/>
  <c r="J136" i="3"/>
  <c r="B136" i="3"/>
  <c r="Z135" i="3"/>
  <c r="X135" i="3"/>
  <c r="L135" i="3"/>
  <c r="N135" i="3" s="1"/>
  <c r="B135" i="3"/>
  <c r="T134" i="3"/>
  <c r="P134" i="3"/>
  <c r="X134" i="3" s="1"/>
  <c r="H134" i="3"/>
  <c r="D134" i="3"/>
  <c r="L134" i="3" s="1"/>
  <c r="N134" i="3" s="1"/>
  <c r="B134" i="3"/>
  <c r="X133" i="3"/>
  <c r="Z133" i="3" s="1"/>
  <c r="L133" i="3"/>
  <c r="N133" i="3" s="1"/>
  <c r="B133" i="3"/>
  <c r="Z132" i="3"/>
  <c r="X132" i="3"/>
  <c r="N132" i="3"/>
  <c r="L132" i="3"/>
  <c r="J132" i="3"/>
  <c r="B132" i="3"/>
  <c r="Z131" i="3"/>
  <c r="X131" i="3"/>
  <c r="N131" i="3"/>
  <c r="L131" i="3"/>
  <c r="B131" i="3"/>
  <c r="X130" i="3"/>
  <c r="Z130" i="3" s="1"/>
  <c r="N130" i="3"/>
  <c r="L130" i="3"/>
  <c r="B130" i="3"/>
  <c r="T129" i="3"/>
  <c r="P129" i="3"/>
  <c r="X129" i="3" s="1"/>
  <c r="H129" i="3"/>
  <c r="N129" i="3" s="1"/>
  <c r="D129" i="3"/>
  <c r="L129" i="3" s="1"/>
  <c r="B129" i="3"/>
  <c r="Z128" i="3"/>
  <c r="X128" i="3"/>
  <c r="N128" i="3"/>
  <c r="L128" i="3"/>
  <c r="J128" i="3"/>
  <c r="B128" i="3"/>
  <c r="Z127" i="3"/>
  <c r="X127" i="3"/>
  <c r="L127" i="3"/>
  <c r="N127" i="3" s="1"/>
  <c r="B127" i="3"/>
  <c r="X126" i="3"/>
  <c r="Z126" i="3" s="1"/>
  <c r="N126" i="3"/>
  <c r="L126" i="3"/>
  <c r="B126" i="3"/>
  <c r="X125" i="3"/>
  <c r="Z125" i="3" s="1"/>
  <c r="L125" i="3"/>
  <c r="N125" i="3" s="1"/>
  <c r="B125" i="3"/>
  <c r="T124" i="3"/>
  <c r="P124" i="3"/>
  <c r="X124" i="3" s="1"/>
  <c r="Z124" i="3" s="1"/>
  <c r="H124" i="3"/>
  <c r="D124" i="3"/>
  <c r="L124" i="3" s="1"/>
  <c r="B124" i="3"/>
  <c r="Z123" i="3"/>
  <c r="X123" i="3"/>
  <c r="L123" i="3"/>
  <c r="N123" i="3" s="1"/>
  <c r="B123" i="3"/>
  <c r="T122" i="3"/>
  <c r="Z122" i="3" s="1"/>
  <c r="P122" i="3"/>
  <c r="X122" i="3" s="1"/>
  <c r="N122" i="3"/>
  <c r="L122" i="3"/>
  <c r="H122" i="3"/>
  <c r="D122" i="3"/>
  <c r="B122" i="3"/>
  <c r="X121" i="3"/>
  <c r="Z121" i="3" s="1"/>
  <c r="L121" i="3"/>
  <c r="N121" i="3" s="1"/>
  <c r="B121" i="3"/>
  <c r="Z120" i="3"/>
  <c r="X120" i="3"/>
  <c r="T120" i="3"/>
  <c r="P120" i="3"/>
  <c r="N120" i="3"/>
  <c r="L120" i="3"/>
  <c r="H120" i="3"/>
  <c r="D120" i="3"/>
  <c r="B120" i="3"/>
  <c r="X119" i="3"/>
  <c r="Z119" i="3" s="1"/>
  <c r="N119" i="3"/>
  <c r="L119" i="3"/>
  <c r="B119" i="3"/>
  <c r="Z118" i="3"/>
  <c r="X118" i="3"/>
  <c r="T118" i="3"/>
  <c r="P118" i="3"/>
  <c r="N118" i="3"/>
  <c r="J118" i="3"/>
  <c r="H118" i="3"/>
  <c r="D118" i="3"/>
  <c r="L118" i="3" s="1"/>
  <c r="B118" i="3"/>
  <c r="X117" i="3"/>
  <c r="Z117" i="3" s="1"/>
  <c r="L117" i="3"/>
  <c r="N117" i="3" s="1"/>
  <c r="B117" i="3"/>
  <c r="T116" i="3"/>
  <c r="P116" i="3"/>
  <c r="X116" i="3" s="1"/>
  <c r="Z116" i="3" s="1"/>
  <c r="H116" i="3"/>
  <c r="N116" i="3" s="1"/>
  <c r="D116" i="3"/>
  <c r="L116" i="3" s="1"/>
  <c r="B116" i="3"/>
  <c r="Z115" i="3"/>
  <c r="X115" i="3"/>
  <c r="L115" i="3"/>
  <c r="N115" i="3" s="1"/>
  <c r="B115" i="3"/>
  <c r="T114" i="3"/>
  <c r="Z114" i="3" s="1"/>
  <c r="P114" i="3"/>
  <c r="X114" i="3" s="1"/>
  <c r="N114" i="3"/>
  <c r="L114" i="3"/>
  <c r="H114" i="3"/>
  <c r="D114" i="3"/>
  <c r="B114" i="3"/>
  <c r="X113" i="3"/>
  <c r="Z113" i="3" s="1"/>
  <c r="L113" i="3"/>
  <c r="N113" i="3" s="1"/>
  <c r="B113" i="3"/>
  <c r="Z112" i="3"/>
  <c r="X112" i="3"/>
  <c r="T112" i="3"/>
  <c r="P112" i="3"/>
  <c r="N112" i="3"/>
  <c r="L112" i="3"/>
  <c r="H112" i="3"/>
  <c r="D112" i="3"/>
  <c r="B112" i="3"/>
  <c r="X111" i="3"/>
  <c r="Z111" i="3" s="1"/>
  <c r="N111" i="3"/>
  <c r="L111" i="3"/>
  <c r="B111" i="3"/>
  <c r="Z110" i="3"/>
  <c r="X110" i="3"/>
  <c r="N110" i="3"/>
  <c r="L110" i="3"/>
  <c r="B110" i="3"/>
  <c r="X109" i="3"/>
  <c r="Z109" i="3" s="1"/>
  <c r="N109" i="3"/>
  <c r="L109" i="3"/>
  <c r="B109" i="3"/>
  <c r="T108" i="3"/>
  <c r="P108" i="3"/>
  <c r="X108" i="3" s="1"/>
  <c r="Z108" i="3" s="1"/>
  <c r="N108" i="3"/>
  <c r="L108" i="3"/>
  <c r="H108" i="3"/>
  <c r="D108" i="3"/>
  <c r="B108" i="3"/>
  <c r="X107" i="3"/>
  <c r="Z107" i="3" s="1"/>
  <c r="N107" i="3"/>
  <c r="L107" i="3"/>
  <c r="B107" i="3"/>
  <c r="Z106" i="3"/>
  <c r="X106" i="3"/>
  <c r="L106" i="3"/>
  <c r="N106" i="3" s="1"/>
  <c r="B106" i="3"/>
  <c r="X105" i="3"/>
  <c r="Z105" i="3" s="1"/>
  <c r="T105" i="3"/>
  <c r="P105" i="3"/>
  <c r="L105" i="3"/>
  <c r="H105" i="3"/>
  <c r="D105" i="3"/>
  <c r="B105" i="3"/>
  <c r="Z104" i="3"/>
  <c r="X104" i="3"/>
  <c r="V104" i="3"/>
  <c r="N104" i="3"/>
  <c r="L104" i="3"/>
  <c r="B104" i="3"/>
  <c r="X103" i="3"/>
  <c r="T103" i="3"/>
  <c r="P103" i="3"/>
  <c r="H103" i="3"/>
  <c r="D103" i="3"/>
  <c r="L103" i="3" s="1"/>
  <c r="B103" i="3"/>
  <c r="X102" i="3"/>
  <c r="Z102" i="3" s="1"/>
  <c r="N102" i="3"/>
  <c r="L102" i="3"/>
  <c r="B102" i="3"/>
  <c r="T101" i="3"/>
  <c r="P101" i="3"/>
  <c r="X101" i="3" s="1"/>
  <c r="H101" i="3"/>
  <c r="N101" i="3" s="1"/>
  <c r="D101" i="3"/>
  <c r="L101" i="3" s="1"/>
  <c r="B101" i="3"/>
  <c r="Z100" i="3"/>
  <c r="X100" i="3"/>
  <c r="N100" i="3"/>
  <c r="L100" i="3"/>
  <c r="J100" i="3"/>
  <c r="B100" i="3"/>
  <c r="T99" i="3"/>
  <c r="P99" i="3"/>
  <c r="X99" i="3" s="1"/>
  <c r="L99" i="3"/>
  <c r="N99" i="3" s="1"/>
  <c r="H99" i="3"/>
  <c r="D99" i="3"/>
  <c r="B99" i="3"/>
  <c r="Z98" i="3"/>
  <c r="X98" i="3"/>
  <c r="N98" i="3"/>
  <c r="L98" i="3"/>
  <c r="B98" i="3"/>
  <c r="Z97" i="3"/>
  <c r="X97" i="3"/>
  <c r="N97" i="3"/>
  <c r="L97" i="3"/>
  <c r="B97" i="3"/>
  <c r="Z96" i="3"/>
  <c r="T96" i="3"/>
  <c r="P96" i="3"/>
  <c r="X96" i="3" s="1"/>
  <c r="N96" i="3"/>
  <c r="L96" i="3"/>
  <c r="H96" i="3"/>
  <c r="D96" i="3"/>
  <c r="B96" i="3"/>
  <c r="X95" i="3"/>
  <c r="Z95" i="3" s="1"/>
  <c r="N95" i="3"/>
  <c r="L95" i="3"/>
  <c r="B95" i="3"/>
  <c r="Z94" i="3"/>
  <c r="X94" i="3"/>
  <c r="N94" i="3"/>
  <c r="L94" i="3"/>
  <c r="B94" i="3"/>
  <c r="X93" i="3"/>
  <c r="Z93" i="3" s="1"/>
  <c r="T93" i="3"/>
  <c r="P93" i="3"/>
  <c r="L93" i="3"/>
  <c r="H93" i="3"/>
  <c r="N93" i="3" s="1"/>
  <c r="D93" i="3"/>
  <c r="B93" i="3"/>
  <c r="Z92" i="3"/>
  <c r="X92" i="3"/>
  <c r="N92" i="3"/>
  <c r="L92" i="3"/>
  <c r="B92" i="3"/>
  <c r="X91" i="3"/>
  <c r="T91" i="3"/>
  <c r="P91" i="3"/>
  <c r="H91" i="3"/>
  <c r="D91" i="3"/>
  <c r="L91" i="3" s="1"/>
  <c r="B91" i="3"/>
  <c r="X90" i="3"/>
  <c r="Z90" i="3" s="1"/>
  <c r="N90" i="3"/>
  <c r="L90" i="3"/>
  <c r="B90" i="3"/>
  <c r="T89" i="3"/>
  <c r="P89" i="3"/>
  <c r="H89" i="3"/>
  <c r="N89" i="3" s="1"/>
  <c r="D89" i="3"/>
  <c r="L89" i="3" s="1"/>
  <c r="B89" i="3"/>
  <c r="Z88" i="3"/>
  <c r="X88" i="3"/>
  <c r="N88" i="3"/>
  <c r="L88" i="3"/>
  <c r="J88" i="3"/>
  <c r="B88" i="3"/>
  <c r="T87" i="3"/>
  <c r="Z87" i="3" s="1"/>
  <c r="P87" i="3"/>
  <c r="X87" i="3" s="1"/>
  <c r="L87" i="3"/>
  <c r="N87" i="3" s="1"/>
  <c r="H87" i="3"/>
  <c r="D87" i="3"/>
  <c r="B87" i="3"/>
  <c r="Z86" i="3"/>
  <c r="X86" i="3"/>
  <c r="N86" i="3"/>
  <c r="L86" i="3"/>
  <c r="B86" i="3"/>
  <c r="Z85" i="3"/>
  <c r="X85" i="3"/>
  <c r="N85" i="3"/>
  <c r="L85" i="3"/>
  <c r="B85" i="3"/>
  <c r="Z84" i="3"/>
  <c r="X84" i="3"/>
  <c r="N84" i="3"/>
  <c r="L84" i="3"/>
  <c r="J84" i="3"/>
  <c r="B84" i="3"/>
  <c r="Z83" i="3"/>
  <c r="X83" i="3"/>
  <c r="L83" i="3"/>
  <c r="N83" i="3" s="1"/>
  <c r="B83" i="3"/>
  <c r="Z82" i="3"/>
  <c r="X82" i="3"/>
  <c r="N82" i="3"/>
  <c r="L82" i="3"/>
  <c r="B82" i="3"/>
  <c r="X81" i="3"/>
  <c r="Z81" i="3" s="1"/>
  <c r="L81" i="3"/>
  <c r="N81" i="3" s="1"/>
  <c r="B81" i="3"/>
  <c r="Z80" i="3"/>
  <c r="X80" i="3"/>
  <c r="N80" i="3"/>
  <c r="L80" i="3"/>
  <c r="B80" i="3"/>
  <c r="Z79" i="3"/>
  <c r="X79" i="3"/>
  <c r="N79" i="3"/>
  <c r="L79" i="3"/>
  <c r="B79" i="3"/>
  <c r="Z78" i="3"/>
  <c r="X78" i="3"/>
  <c r="L78" i="3"/>
  <c r="N78" i="3" s="1"/>
  <c r="B78" i="3"/>
  <c r="X77" i="3"/>
  <c r="Z77" i="3" s="1"/>
  <c r="L77" i="3"/>
  <c r="N77" i="3" s="1"/>
  <c r="B77" i="3"/>
  <c r="T76" i="3"/>
  <c r="P76" i="3"/>
  <c r="X76" i="3" s="1"/>
  <c r="Z76" i="3" s="1"/>
  <c r="N76" i="3"/>
  <c r="L76" i="3"/>
  <c r="H76" i="3"/>
  <c r="D76" i="3"/>
  <c r="B76" i="3"/>
  <c r="X75" i="3"/>
  <c r="Z75" i="3" s="1"/>
  <c r="N75" i="3"/>
  <c r="L75" i="3"/>
  <c r="B75" i="3"/>
  <c r="Z74" i="3"/>
  <c r="X74" i="3"/>
  <c r="L74" i="3"/>
  <c r="N74" i="3" s="1"/>
  <c r="B74" i="3"/>
  <c r="X73" i="3"/>
  <c r="Z73" i="3" s="1"/>
  <c r="L73" i="3"/>
  <c r="N73" i="3" s="1"/>
  <c r="B73" i="3"/>
  <c r="Z72" i="3"/>
  <c r="X72" i="3"/>
  <c r="N72" i="3"/>
  <c r="L72" i="3"/>
  <c r="J72" i="3"/>
  <c r="B72" i="3"/>
  <c r="Z71" i="3"/>
  <c r="X71" i="3"/>
  <c r="N71" i="3"/>
  <c r="L71" i="3"/>
  <c r="B71" i="3"/>
  <c r="X70" i="3"/>
  <c r="Z70" i="3" s="1"/>
  <c r="N70" i="3"/>
  <c r="L70" i="3"/>
  <c r="B70" i="3"/>
  <c r="X69" i="3"/>
  <c r="Z69" i="3" s="1"/>
  <c r="L69" i="3"/>
  <c r="N69" i="3" s="1"/>
  <c r="B69" i="3"/>
  <c r="Z68" i="3"/>
  <c r="X68" i="3"/>
  <c r="N68" i="3"/>
  <c r="L68" i="3"/>
  <c r="B68" i="3"/>
  <c r="X67" i="3"/>
  <c r="Z67" i="3" s="1"/>
  <c r="N67" i="3"/>
  <c r="L67" i="3"/>
  <c r="B67" i="3"/>
  <c r="Z66" i="3"/>
  <c r="X66" i="3"/>
  <c r="L66" i="3"/>
  <c r="N66" i="3" s="1"/>
  <c r="B66" i="3"/>
  <c r="X65" i="3"/>
  <c r="Z65" i="3" s="1"/>
  <c r="T65" i="3"/>
  <c r="P65" i="3"/>
  <c r="L65" i="3"/>
  <c r="H65" i="3"/>
  <c r="N65" i="3" s="1"/>
  <c r="D65" i="3"/>
  <c r="B65" i="3"/>
  <c r="T64" i="3" a="1"/>
  <c r="T64" i="3"/>
  <c r="P64" i="3" a="1"/>
  <c r="P64" i="3" s="1"/>
  <c r="X64" i="3" s="1"/>
  <c r="H64" i="3" a="1"/>
  <c r="H64" i="3" s="1"/>
  <c r="J64" i="3" s="1"/>
  <c r="D64" i="3" a="1"/>
  <c r="D64" i="3" s="1"/>
  <c r="Z60" i="3"/>
  <c r="X60" i="3"/>
  <c r="N60" i="3"/>
  <c r="L60" i="3"/>
  <c r="J60" i="3"/>
  <c r="B60" i="3"/>
  <c r="Z59" i="3"/>
  <c r="X59" i="3"/>
  <c r="N59" i="3"/>
  <c r="L59" i="3"/>
  <c r="B59" i="3"/>
  <c r="Z58" i="3"/>
  <c r="X58" i="3"/>
  <c r="N58" i="3"/>
  <c r="L58" i="3"/>
  <c r="B58" i="3"/>
  <c r="Z57" i="3"/>
  <c r="X57" i="3"/>
  <c r="N57" i="3"/>
  <c r="L57" i="3"/>
  <c r="B57" i="3"/>
  <c r="Z56" i="3"/>
  <c r="X56" i="3"/>
  <c r="V56" i="3"/>
  <c r="N56" i="3"/>
  <c r="L56" i="3"/>
  <c r="B56" i="3"/>
  <c r="Z55" i="3"/>
  <c r="X55" i="3"/>
  <c r="N55" i="3"/>
  <c r="L55" i="3"/>
  <c r="B55" i="3"/>
  <c r="Z54" i="3"/>
  <c r="X54" i="3"/>
  <c r="N54" i="3"/>
  <c r="L54" i="3"/>
  <c r="B54" i="3"/>
  <c r="Z53" i="3"/>
  <c r="X53" i="3"/>
  <c r="N53" i="3"/>
  <c r="L53" i="3"/>
  <c r="B53" i="3"/>
  <c r="Z52" i="3"/>
  <c r="X52" i="3"/>
  <c r="N52" i="3"/>
  <c r="L52" i="3"/>
  <c r="J52" i="3"/>
  <c r="B52" i="3"/>
  <c r="Z51" i="3"/>
  <c r="X51" i="3"/>
  <c r="N51" i="3"/>
  <c r="L51" i="3"/>
  <c r="B51" i="3"/>
  <c r="Z50" i="3"/>
  <c r="X50" i="3"/>
  <c r="N50" i="3"/>
  <c r="L50" i="3"/>
  <c r="B50" i="3"/>
  <c r="Z49" i="3"/>
  <c r="X49" i="3"/>
  <c r="N49" i="3"/>
  <c r="L49" i="3"/>
  <c r="B49" i="3"/>
  <c r="Z48" i="3"/>
  <c r="X48" i="3"/>
  <c r="N48" i="3"/>
  <c r="L48" i="3"/>
  <c r="B48" i="3"/>
  <c r="Z47" i="3"/>
  <c r="X47" i="3"/>
  <c r="N47" i="3"/>
  <c r="L47" i="3"/>
  <c r="B47" i="3"/>
  <c r="Z46" i="3"/>
  <c r="X46" i="3"/>
  <c r="N46" i="3"/>
  <c r="L46" i="3"/>
  <c r="B46" i="3"/>
  <c r="Z45" i="3"/>
  <c r="X45" i="3"/>
  <c r="N45" i="3"/>
  <c r="L45" i="3"/>
  <c r="B45" i="3"/>
  <c r="Z44" i="3"/>
  <c r="X44" i="3"/>
  <c r="N44" i="3"/>
  <c r="L44" i="3"/>
  <c r="J44" i="3"/>
  <c r="B44" i="3"/>
  <c r="Z43" i="3"/>
  <c r="X43" i="3"/>
  <c r="N43" i="3"/>
  <c r="L43" i="3"/>
  <c r="B43" i="3"/>
  <c r="Z42" i="3"/>
  <c r="X42" i="3"/>
  <c r="N42" i="3"/>
  <c r="L42" i="3"/>
  <c r="J42" i="3"/>
  <c r="B42" i="3"/>
  <c r="Z41" i="3"/>
  <c r="X41" i="3"/>
  <c r="N41" i="3"/>
  <c r="L41" i="3"/>
  <c r="B41" i="3"/>
  <c r="Z40" i="3"/>
  <c r="X40" i="3"/>
  <c r="N40" i="3"/>
  <c r="L40" i="3"/>
  <c r="B40" i="3"/>
  <c r="Z39" i="3"/>
  <c r="X39" i="3"/>
  <c r="N39" i="3"/>
  <c r="L39" i="3"/>
  <c r="B39" i="3"/>
  <c r="Z38" i="3"/>
  <c r="X38" i="3"/>
  <c r="N38" i="3"/>
  <c r="L38" i="3"/>
  <c r="B38" i="3"/>
  <c r="Z37" i="3"/>
  <c r="X37" i="3"/>
  <c r="N37" i="3"/>
  <c r="L37" i="3"/>
  <c r="B37" i="3"/>
  <c r="Z36" i="3"/>
  <c r="X36" i="3"/>
  <c r="N36" i="3"/>
  <c r="L36" i="3"/>
  <c r="J36" i="3"/>
  <c r="B36" i="3"/>
  <c r="Z35" i="3"/>
  <c r="X35" i="3"/>
  <c r="N35" i="3"/>
  <c r="L35" i="3"/>
  <c r="B35" i="3"/>
  <c r="Z34" i="3"/>
  <c r="X34" i="3"/>
  <c r="N34" i="3"/>
  <c r="L34" i="3"/>
  <c r="J34" i="3"/>
  <c r="B34" i="3"/>
  <c r="Z33" i="3"/>
  <c r="X33" i="3"/>
  <c r="N33" i="3"/>
  <c r="L33" i="3"/>
  <c r="B33" i="3"/>
  <c r="Z32" i="3"/>
  <c r="X32" i="3"/>
  <c r="N32" i="3"/>
  <c r="L32" i="3"/>
  <c r="B32" i="3"/>
  <c r="Z31" i="3"/>
  <c r="X31" i="3"/>
  <c r="N31" i="3"/>
  <c r="L31" i="3"/>
  <c r="B31" i="3"/>
  <c r="Z30" i="3"/>
  <c r="X30" i="3"/>
  <c r="N30" i="3"/>
  <c r="L30" i="3"/>
  <c r="B30" i="3"/>
  <c r="Z29" i="3"/>
  <c r="X29" i="3"/>
  <c r="N29" i="3"/>
  <c r="L29" i="3"/>
  <c r="B29" i="3"/>
  <c r="Z28" i="3"/>
  <c r="X28" i="3"/>
  <c r="N28" i="3"/>
  <c r="L28" i="3"/>
  <c r="J28" i="3"/>
  <c r="B28" i="3"/>
  <c r="Z27" i="3"/>
  <c r="X27" i="3"/>
  <c r="N27" i="3"/>
  <c r="L27" i="3"/>
  <c r="B27" i="3"/>
  <c r="Z26" i="3"/>
  <c r="X26" i="3"/>
  <c r="N26" i="3"/>
  <c r="L26" i="3"/>
  <c r="J26" i="3"/>
  <c r="B26" i="3"/>
  <c r="T25" i="3"/>
  <c r="P25" i="3"/>
  <c r="X25" i="3" s="1"/>
  <c r="H25" i="3"/>
  <c r="D25" i="3"/>
  <c r="L25" i="3" s="1"/>
  <c r="N25" i="3" s="1"/>
  <c r="Z23" i="3"/>
  <c r="P23" i="3"/>
  <c r="X23" i="3" s="1"/>
  <c r="N23" i="3"/>
  <c r="L23" i="3"/>
  <c r="D23" i="3"/>
  <c r="B23" i="3"/>
  <c r="Z22" i="3"/>
  <c r="P22" i="3"/>
  <c r="X22" i="3" s="1"/>
  <c r="N22" i="3"/>
  <c r="L22" i="3"/>
  <c r="D22" i="3"/>
  <c r="B22" i="3"/>
  <c r="Z21" i="3"/>
  <c r="X21" i="3"/>
  <c r="P21" i="3"/>
  <c r="N21" i="3"/>
  <c r="L21" i="3"/>
  <c r="D21" i="3"/>
  <c r="B21" i="3"/>
  <c r="Z20" i="3"/>
  <c r="P20" i="3"/>
  <c r="X20" i="3" s="1"/>
  <c r="N20" i="3"/>
  <c r="D20" i="3"/>
  <c r="L20" i="3" s="1"/>
  <c r="B20" i="3"/>
  <c r="Z19" i="3"/>
  <c r="X19" i="3"/>
  <c r="P19" i="3"/>
  <c r="N19" i="3"/>
  <c r="D19" i="3"/>
  <c r="L19" i="3" s="1"/>
  <c r="B19" i="3"/>
  <c r="Z18" i="3"/>
  <c r="X18" i="3"/>
  <c r="P18" i="3"/>
  <c r="N18" i="3"/>
  <c r="L18" i="3"/>
  <c r="D18" i="3"/>
  <c r="B18" i="3"/>
  <c r="Z17" i="3"/>
  <c r="X17" i="3"/>
  <c r="P17" i="3"/>
  <c r="N17" i="3"/>
  <c r="D17" i="3"/>
  <c r="L17" i="3" s="1"/>
  <c r="B17" i="3"/>
  <c r="X16" i="3"/>
  <c r="Z16" i="3" s="1"/>
  <c r="P16" i="3"/>
  <c r="N16" i="3"/>
  <c r="L16" i="3"/>
  <c r="D16" i="3"/>
  <c r="B16" i="3"/>
  <c r="Z15" i="3"/>
  <c r="P15" i="3"/>
  <c r="X15" i="3" s="1"/>
  <c r="N15" i="3"/>
  <c r="L15" i="3"/>
  <c r="D15" i="3"/>
  <c r="B15" i="3"/>
  <c r="Z14" i="3"/>
  <c r="P14" i="3"/>
  <c r="X14" i="3" s="1"/>
  <c r="N14" i="3"/>
  <c r="L14" i="3"/>
  <c r="D14" i="3"/>
  <c r="B14" i="3"/>
  <c r="X13" i="3"/>
  <c r="Z13" i="3" s="1"/>
  <c r="P13" i="3"/>
  <c r="L13" i="3"/>
  <c r="N13" i="3" s="1"/>
  <c r="D13" i="3"/>
  <c r="B13" i="3"/>
  <c r="T12" i="3"/>
  <c r="V116" i="3" s="1"/>
  <c r="H12" i="3"/>
  <c r="J178" i="3" s="1"/>
  <c r="D4" i="3"/>
  <c r="L13" i="19" l="1"/>
  <c r="X15" i="26"/>
  <c r="X21" i="49"/>
  <c r="X16" i="50"/>
  <c r="X34" i="47"/>
  <c r="X29" i="26"/>
  <c r="X20" i="5"/>
  <c r="L15" i="7"/>
  <c r="L22" i="11"/>
  <c r="L33" i="30"/>
  <c r="X22" i="33"/>
  <c r="L21" i="40"/>
  <c r="L33" i="44"/>
  <c r="X20" i="46"/>
  <c r="L22" i="46"/>
  <c r="L34" i="50"/>
  <c r="L22" i="53"/>
  <c r="X16" i="11"/>
  <c r="L13" i="94"/>
  <c r="X29" i="95"/>
  <c r="X34" i="95"/>
  <c r="X25" i="50"/>
  <c r="L16" i="4"/>
  <c r="X22" i="10"/>
  <c r="X25" i="29"/>
  <c r="X33" i="29"/>
  <c r="L16" i="30"/>
  <c r="X13" i="33"/>
  <c r="X15" i="35"/>
  <c r="X33" i="7"/>
  <c r="L34" i="11"/>
  <c r="X15" i="13"/>
  <c r="L13" i="16"/>
  <c r="X29" i="19"/>
  <c r="X24" i="20"/>
  <c r="L34" i="22"/>
  <c r="L24" i="23"/>
  <c r="X24" i="30"/>
  <c r="X25" i="38"/>
  <c r="X33" i="38"/>
  <c r="L22" i="40"/>
  <c r="L24" i="46"/>
  <c r="X13" i="47"/>
  <c r="L24" i="13"/>
  <c r="X13" i="14"/>
  <c r="L21" i="14"/>
  <c r="X25" i="14"/>
  <c r="X25" i="20"/>
  <c r="X33" i="20"/>
  <c r="L25" i="23"/>
  <c r="X16" i="29"/>
  <c r="L34" i="40"/>
  <c r="L24" i="41"/>
  <c r="X25" i="44"/>
  <c r="L13" i="46"/>
  <c r="L20" i="50"/>
  <c r="L25" i="17"/>
  <c r="L33" i="17"/>
  <c r="L29" i="27"/>
  <c r="L13" i="32"/>
  <c r="X16" i="35"/>
  <c r="L24" i="38"/>
  <c r="X21" i="53"/>
  <c r="L25" i="7"/>
  <c r="L33" i="7"/>
  <c r="D18" i="14"/>
  <c r="X15" i="16"/>
  <c r="X21" i="33"/>
  <c r="L13" i="35"/>
  <c r="L25" i="35"/>
  <c r="L33" i="35"/>
  <c r="L25" i="38"/>
  <c r="L33" i="38"/>
  <c r="X24" i="40"/>
  <c r="X21" i="41"/>
  <c r="L34" i="43"/>
  <c r="L22" i="49"/>
  <c r="X15" i="50"/>
  <c r="L21" i="52"/>
  <c r="X25" i="52"/>
  <c r="X22" i="53"/>
  <c r="X20" i="16"/>
  <c r="L22" i="16"/>
  <c r="X29" i="17"/>
  <c r="X34" i="17"/>
  <c r="X33" i="23"/>
  <c r="X22" i="24"/>
  <c r="L24" i="26"/>
  <c r="L34" i="30"/>
  <c r="X29" i="32"/>
  <c r="X34" i="32"/>
  <c r="L16" i="35"/>
  <c r="X22" i="35"/>
  <c r="L16" i="38"/>
  <c r="P18" i="41"/>
  <c r="L16" i="41"/>
  <c r="X21" i="5"/>
  <c r="L29" i="5"/>
  <c r="L16" i="7"/>
  <c r="L13" i="8"/>
  <c r="L20" i="10"/>
  <c r="X24" i="10"/>
  <c r="L15" i="11"/>
  <c r="X13" i="23"/>
  <c r="X13" i="26"/>
  <c r="L15" i="40"/>
  <c r="X34" i="46"/>
  <c r="X21" i="47"/>
  <c r="X13" i="50"/>
  <c r="X21" i="95"/>
  <c r="L22" i="10"/>
  <c r="X15" i="40"/>
  <c r="L33" i="47"/>
  <c r="L21" i="94"/>
  <c r="L13" i="22"/>
  <c r="X20" i="23"/>
  <c r="X34" i="27"/>
  <c r="X22" i="32"/>
  <c r="L13" i="33"/>
  <c r="L25" i="33"/>
  <c r="L33" i="33"/>
  <c r="L15" i="35"/>
  <c r="X22" i="40"/>
  <c r="L34" i="46"/>
  <c r="L33" i="49"/>
  <c r="L22" i="50"/>
  <c r="Z12" i="52"/>
  <c r="X29" i="5"/>
  <c r="X21" i="14"/>
  <c r="X22" i="22"/>
  <c r="Z12" i="27"/>
  <c r="X29" i="33"/>
  <c r="X24" i="49"/>
  <c r="L34" i="49"/>
  <c r="X29" i="53"/>
  <c r="X24" i="95"/>
  <c r="L34" i="95"/>
  <c r="L25" i="32"/>
  <c r="L33" i="32"/>
  <c r="L22" i="33"/>
  <c r="L34" i="37"/>
  <c r="X34" i="49"/>
  <c r="X15" i="11"/>
  <c r="L29" i="38"/>
  <c r="V34" i="19"/>
  <c r="X13" i="27"/>
  <c r="X25" i="47"/>
  <c r="X22" i="49"/>
  <c r="X16" i="94"/>
  <c r="X33" i="5"/>
  <c r="L22" i="7"/>
  <c r="X24" i="8"/>
  <c r="X13" i="10"/>
  <c r="X13" i="13"/>
  <c r="L29" i="16"/>
  <c r="L34" i="16"/>
  <c r="X34" i="22"/>
  <c r="L24" i="24"/>
  <c r="X15" i="29"/>
  <c r="L25" i="37"/>
  <c r="X20" i="38"/>
  <c r="L22" i="38"/>
  <c r="L25" i="44"/>
  <c r="X16" i="47"/>
  <c r="L24" i="47"/>
  <c r="L16" i="50"/>
  <c r="L29" i="52"/>
  <c r="X13" i="95"/>
  <c r="X16" i="5"/>
  <c r="Z12" i="13"/>
  <c r="L24" i="30"/>
  <c r="Z34" i="47"/>
  <c r="D18" i="23"/>
  <c r="D27" i="23" s="1"/>
  <c r="X33" i="40"/>
  <c r="X13" i="41"/>
  <c r="R18" i="93"/>
  <c r="X21" i="40"/>
  <c r="X22" i="41"/>
  <c r="X15" i="93"/>
  <c r="X22" i="94"/>
  <c r="X21" i="7"/>
  <c r="L33" i="8"/>
  <c r="X13" i="16"/>
  <c r="L21" i="16"/>
  <c r="X22" i="16"/>
  <c r="L25" i="16"/>
  <c r="L33" i="16"/>
  <c r="L20" i="17"/>
  <c r="L16" i="20"/>
  <c r="X22" i="20"/>
  <c r="X21" i="24"/>
  <c r="X15" i="53"/>
  <c r="R15" i="26"/>
  <c r="D18" i="35"/>
  <c r="L20" i="37"/>
  <c r="L29" i="41"/>
  <c r="L33" i="52"/>
  <c r="L24" i="94"/>
  <c r="X16" i="8"/>
  <c r="X25" i="8"/>
  <c r="R15" i="10"/>
  <c r="X12" i="11"/>
  <c r="N12" i="13"/>
  <c r="X25" i="16"/>
  <c r="X33" i="16"/>
  <c r="X25" i="22"/>
  <c r="L13" i="26"/>
  <c r="X15" i="47"/>
  <c r="X15" i="27"/>
  <c r="F20" i="27"/>
  <c r="X24" i="27"/>
  <c r="X16" i="30"/>
  <c r="L15" i="32"/>
  <c r="X21" i="32"/>
  <c r="L29" i="32"/>
  <c r="L22" i="37"/>
  <c r="X34" i="43"/>
  <c r="X13" i="46"/>
  <c r="X20" i="47"/>
  <c r="L15" i="49"/>
  <c r="L13" i="50"/>
  <c r="L33" i="50"/>
  <c r="L25" i="53"/>
  <c r="L33" i="53"/>
  <c r="X13" i="93"/>
  <c r="Z12" i="94"/>
  <c r="X15" i="23"/>
  <c r="L20" i="23"/>
  <c r="F24" i="23"/>
  <c r="L16" i="24"/>
  <c r="F22" i="24"/>
  <c r="F36" i="27"/>
  <c r="L33" i="29"/>
  <c r="L15" i="30"/>
  <c r="L34" i="32"/>
  <c r="L16" i="33"/>
  <c r="X20" i="33"/>
  <c r="X24" i="33"/>
  <c r="X24" i="35"/>
  <c r="J18" i="37"/>
  <c r="X21" i="37"/>
  <c r="X29" i="40"/>
  <c r="L25" i="43"/>
  <c r="X29" i="43"/>
  <c r="L15" i="47"/>
  <c r="X15" i="49"/>
  <c r="L29" i="49"/>
  <c r="X24" i="52"/>
  <c r="X34" i="53"/>
  <c r="L13" i="95"/>
  <c r="L16" i="5"/>
  <c r="X22" i="7"/>
  <c r="X29" i="7"/>
  <c r="X15" i="10"/>
  <c r="L24" i="10"/>
  <c r="X24" i="11"/>
  <c r="X25" i="13"/>
  <c r="Z12" i="19"/>
  <c r="V27" i="19"/>
  <c r="R18" i="22"/>
  <c r="V15" i="35"/>
  <c r="V36" i="46"/>
  <c r="V16" i="47"/>
  <c r="X16" i="93"/>
  <c r="R15" i="19"/>
  <c r="X12" i="22"/>
  <c r="L20" i="22"/>
  <c r="V31" i="24"/>
  <c r="L34" i="26"/>
  <c r="V33" i="27"/>
  <c r="X16" i="33"/>
  <c r="R15" i="41"/>
  <c r="X29" i="44"/>
  <c r="X34" i="52"/>
  <c r="N12" i="53"/>
  <c r="L24" i="93"/>
  <c r="X25" i="93"/>
  <c r="X21" i="94"/>
  <c r="L34" i="94"/>
  <c r="L16" i="95"/>
  <c r="L29" i="4"/>
  <c r="L34" i="4"/>
  <c r="V29" i="7"/>
  <c r="J34" i="16"/>
  <c r="L16" i="23"/>
  <c r="X25" i="24"/>
  <c r="X20" i="26"/>
  <c r="L16" i="27"/>
  <c r="X22" i="27"/>
  <c r="L13" i="30"/>
  <c r="L15" i="33"/>
  <c r="R16" i="33"/>
  <c r="V33" i="46"/>
  <c r="L29" i="47"/>
  <c r="F34" i="49"/>
  <c r="R16" i="53"/>
  <c r="X24" i="4"/>
  <c r="L24" i="5"/>
  <c r="L29" i="8"/>
  <c r="L34" i="8"/>
  <c r="X20" i="13"/>
  <c r="X16" i="27"/>
  <c r="L21" i="27"/>
  <c r="R22" i="27"/>
  <c r="F25" i="35"/>
  <c r="X25" i="43"/>
  <c r="L21" i="50"/>
  <c r="N12" i="16"/>
  <c r="X24" i="17"/>
  <c r="L29" i="17"/>
  <c r="L33" i="23"/>
  <c r="V27" i="24"/>
  <c r="L20" i="29"/>
  <c r="L34" i="29"/>
  <c r="X22" i="30"/>
  <c r="L21" i="32"/>
  <c r="L12" i="35"/>
  <c r="H18" i="38"/>
  <c r="X29" i="47"/>
  <c r="L20" i="53"/>
  <c r="X24" i="93"/>
  <c r="L16" i="94"/>
  <c r="X12" i="95"/>
  <c r="L15" i="95"/>
  <c r="X22" i="95"/>
  <c r="L25" i="95"/>
  <c r="L13" i="4"/>
  <c r="X20" i="4"/>
  <c r="X15" i="5"/>
  <c r="X20" i="7"/>
  <c r="L29" i="7"/>
  <c r="X20" i="8"/>
  <c r="L22" i="8"/>
  <c r="X29" i="8"/>
  <c r="X34" i="8"/>
  <c r="V16" i="11"/>
  <c r="L21" i="11"/>
  <c r="V20" i="13"/>
  <c r="L22" i="13"/>
  <c r="X29" i="13"/>
  <c r="X16" i="16"/>
  <c r="L16" i="19"/>
  <c r="L34" i="20"/>
  <c r="R29" i="22"/>
  <c r="L13" i="24"/>
  <c r="L29" i="24"/>
  <c r="L20" i="27"/>
  <c r="V22" i="27"/>
  <c r="L33" i="27"/>
  <c r="L21" i="30"/>
  <c r="X33" i="32"/>
  <c r="L20" i="33"/>
  <c r="L24" i="33"/>
  <c r="X25" i="35"/>
  <c r="X33" i="35"/>
  <c r="R22" i="41"/>
  <c r="L33" i="41"/>
  <c r="X20" i="43"/>
  <c r="L22" i="43"/>
  <c r="L15" i="44"/>
  <c r="L24" i="44"/>
  <c r="X16" i="49"/>
  <c r="X21" i="50"/>
  <c r="L24" i="50"/>
  <c r="L13" i="53"/>
  <c r="L34" i="53"/>
  <c r="L22" i="93"/>
  <c r="X29" i="93"/>
  <c r="X34" i="93"/>
  <c r="L25" i="94"/>
  <c r="F15" i="4"/>
  <c r="F22" i="4"/>
  <c r="X29" i="4"/>
  <c r="X34" i="4"/>
  <c r="X12" i="5"/>
  <c r="L25" i="5"/>
  <c r="V33" i="5"/>
  <c r="X25" i="7"/>
  <c r="L34" i="7"/>
  <c r="X13" i="8"/>
  <c r="F22" i="8"/>
  <c r="F24" i="8"/>
  <c r="X33" i="8"/>
  <c r="L21" i="10"/>
  <c r="L25" i="10"/>
  <c r="X34" i="11"/>
  <c r="L15" i="13"/>
  <c r="V22" i="13"/>
  <c r="N12" i="14"/>
  <c r="F20" i="14"/>
  <c r="X22" i="14"/>
  <c r="L25" i="14"/>
  <c r="J31" i="14"/>
  <c r="N16" i="29"/>
  <c r="L16" i="29"/>
  <c r="V34" i="49"/>
  <c r="V15" i="49"/>
  <c r="V31" i="49"/>
  <c r="X16" i="4"/>
  <c r="L22" i="4"/>
  <c r="J15" i="5"/>
  <c r="J15" i="7"/>
  <c r="R33" i="13"/>
  <c r="R36" i="13"/>
  <c r="L20" i="14"/>
  <c r="F31" i="29"/>
  <c r="F20" i="29"/>
  <c r="R34" i="32"/>
  <c r="X12" i="32"/>
  <c r="R16" i="32"/>
  <c r="L13" i="38"/>
  <c r="X15" i="4"/>
  <c r="L21" i="4"/>
  <c r="X22" i="4"/>
  <c r="L25" i="4"/>
  <c r="L33" i="4"/>
  <c r="X25" i="5"/>
  <c r="L34" i="5"/>
  <c r="X15" i="7"/>
  <c r="R16" i="8"/>
  <c r="F21" i="8"/>
  <c r="J22" i="8"/>
  <c r="X12" i="10"/>
  <c r="J21" i="10"/>
  <c r="X33" i="10"/>
  <c r="X22" i="11"/>
  <c r="X16" i="13"/>
  <c r="R29" i="13"/>
  <c r="V24" i="14"/>
  <c r="V33" i="14"/>
  <c r="V29" i="14"/>
  <c r="V25" i="14"/>
  <c r="V34" i="14"/>
  <c r="F34" i="17"/>
  <c r="F36" i="17"/>
  <c r="D18" i="17"/>
  <c r="D27" i="17" s="1"/>
  <c r="D31" i="17" s="1"/>
  <c r="D36" i="17" s="1"/>
  <c r="F25" i="17"/>
  <c r="F24" i="17"/>
  <c r="V27" i="37"/>
  <c r="X12" i="37"/>
  <c r="D18" i="5"/>
  <c r="P18" i="13"/>
  <c r="P27" i="13" s="1"/>
  <c r="P31" i="13" s="1"/>
  <c r="J22" i="13"/>
  <c r="J24" i="13"/>
  <c r="R25" i="13"/>
  <c r="X33" i="13"/>
  <c r="Z12" i="14"/>
  <c r="F27" i="29"/>
  <c r="R21" i="40"/>
  <c r="R36" i="40"/>
  <c r="R18" i="40"/>
  <c r="R15" i="40"/>
  <c r="P18" i="40"/>
  <c r="P27" i="40" s="1"/>
  <c r="P31" i="40" s="1"/>
  <c r="X12" i="40"/>
  <c r="L20" i="4"/>
  <c r="X21" i="4"/>
  <c r="X25" i="4"/>
  <c r="X33" i="4"/>
  <c r="L20" i="5"/>
  <c r="R21" i="5"/>
  <c r="V15" i="7"/>
  <c r="D18" i="7"/>
  <c r="D27" i="7" s="1"/>
  <c r="J21" i="7"/>
  <c r="F29" i="7"/>
  <c r="X15" i="8"/>
  <c r="X21" i="8"/>
  <c r="X22" i="8"/>
  <c r="L13" i="10"/>
  <c r="X21" i="11"/>
  <c r="L24" i="11"/>
  <c r="X25" i="11"/>
  <c r="X33" i="11"/>
  <c r="V18" i="13"/>
  <c r="L29" i="14"/>
  <c r="Z34" i="35"/>
  <c r="X34" i="35"/>
  <c r="L22" i="95"/>
  <c r="X13" i="4"/>
  <c r="L24" i="4"/>
  <c r="X24" i="5"/>
  <c r="J27" i="5"/>
  <c r="X13" i="7"/>
  <c r="V15" i="14"/>
  <c r="T18" i="14"/>
  <c r="T27" i="14" s="1"/>
  <c r="V20" i="14"/>
  <c r="X24" i="14"/>
  <c r="V33" i="16"/>
  <c r="Z12" i="16"/>
  <c r="V36" i="16"/>
  <c r="J25" i="7"/>
  <c r="X34" i="10"/>
  <c r="X13" i="11"/>
  <c r="X20" i="11"/>
  <c r="F24" i="14"/>
  <c r="F29" i="14"/>
  <c r="F25" i="14"/>
  <c r="F31" i="14"/>
  <c r="V18" i="14"/>
  <c r="V18" i="16"/>
  <c r="R34" i="20"/>
  <c r="R21" i="20"/>
  <c r="R22" i="20"/>
  <c r="R15" i="20"/>
  <c r="R16" i="20"/>
  <c r="L13" i="93"/>
  <c r="F24" i="7"/>
  <c r="J24" i="16"/>
  <c r="R20" i="17"/>
  <c r="T18" i="19"/>
  <c r="T27" i="19" s="1"/>
  <c r="Z27" i="19" s="1"/>
  <c r="L21" i="19"/>
  <c r="F36" i="19"/>
  <c r="L15" i="29"/>
  <c r="X20" i="29"/>
  <c r="L29" i="29"/>
  <c r="R22" i="33"/>
  <c r="X20" i="35"/>
  <c r="R36" i="41"/>
  <c r="X12" i="43"/>
  <c r="F18" i="43"/>
  <c r="L21" i="43"/>
  <c r="X22" i="43"/>
  <c r="F34" i="43"/>
  <c r="L16" i="44"/>
  <c r="L34" i="44"/>
  <c r="R15" i="47"/>
  <c r="P18" i="47"/>
  <c r="P27" i="47" s="1"/>
  <c r="V31" i="52"/>
  <c r="R29" i="93"/>
  <c r="F18" i="94"/>
  <c r="F34" i="94"/>
  <c r="L20" i="95"/>
  <c r="F20" i="16"/>
  <c r="F21" i="16"/>
  <c r="J22" i="16"/>
  <c r="J27" i="16"/>
  <c r="J36" i="16"/>
  <c r="V18" i="19"/>
  <c r="V33" i="19"/>
  <c r="V33" i="20"/>
  <c r="L15" i="23"/>
  <c r="L20" i="24"/>
  <c r="X24" i="26"/>
  <c r="V20" i="27"/>
  <c r="V18" i="30"/>
  <c r="J21" i="32"/>
  <c r="J34" i="32"/>
  <c r="F27" i="35"/>
  <c r="F36" i="35"/>
  <c r="F31" i="37"/>
  <c r="X20" i="41"/>
  <c r="J24" i="41"/>
  <c r="R18" i="43"/>
  <c r="L20" i="49"/>
  <c r="L16" i="53"/>
  <c r="F31" i="94"/>
  <c r="F20" i="95"/>
  <c r="J18" i="17"/>
  <c r="L20" i="19"/>
  <c r="V29" i="19"/>
  <c r="F15" i="23"/>
  <c r="X16" i="23"/>
  <c r="L22" i="23"/>
  <c r="F29" i="23"/>
  <c r="R15" i="24"/>
  <c r="L25" i="24"/>
  <c r="L16" i="26"/>
  <c r="R24" i="26"/>
  <c r="D18" i="27"/>
  <c r="D27" i="27" s="1"/>
  <c r="X25" i="27"/>
  <c r="V29" i="27"/>
  <c r="J15" i="29"/>
  <c r="V20" i="29"/>
  <c r="X29" i="29"/>
  <c r="X21" i="30"/>
  <c r="X15" i="32"/>
  <c r="L20" i="32"/>
  <c r="L29" i="35"/>
  <c r="X24" i="37"/>
  <c r="F27" i="37"/>
  <c r="J31" i="37"/>
  <c r="X34" i="40"/>
  <c r="R20" i="41"/>
  <c r="X24" i="41"/>
  <c r="X33" i="41"/>
  <c r="L13" i="43"/>
  <c r="F31" i="43"/>
  <c r="X21" i="44"/>
  <c r="L15" i="46"/>
  <c r="R20" i="50"/>
  <c r="F24" i="50"/>
  <c r="V21" i="52"/>
  <c r="V34" i="52"/>
  <c r="L24" i="53"/>
  <c r="R24" i="17"/>
  <c r="R21" i="19"/>
  <c r="X21" i="20"/>
  <c r="V27" i="22"/>
  <c r="V36" i="22"/>
  <c r="R22" i="26"/>
  <c r="T18" i="27"/>
  <c r="T27" i="27" s="1"/>
  <c r="T18" i="29"/>
  <c r="V33" i="29"/>
  <c r="V33" i="35"/>
  <c r="X16" i="38"/>
  <c r="F24" i="44"/>
  <c r="V18" i="46"/>
  <c r="J34" i="47"/>
  <c r="J36" i="52"/>
  <c r="L15" i="53"/>
  <c r="R20" i="53"/>
  <c r="R25" i="93"/>
  <c r="X29" i="16"/>
  <c r="L13" i="17"/>
  <c r="X22" i="17"/>
  <c r="X12" i="19"/>
  <c r="X24" i="19"/>
  <c r="X25" i="19"/>
  <c r="V31" i="19"/>
  <c r="X13" i="20"/>
  <c r="L33" i="20"/>
  <c r="X29" i="23"/>
  <c r="X20" i="24"/>
  <c r="L34" i="24"/>
  <c r="F16" i="27"/>
  <c r="V25" i="27"/>
  <c r="L21" i="29"/>
  <c r="V29" i="29"/>
  <c r="X20" i="30"/>
  <c r="J27" i="32"/>
  <c r="L21" i="35"/>
  <c r="X29" i="35"/>
  <c r="L29" i="37"/>
  <c r="R16" i="38"/>
  <c r="X22" i="38"/>
  <c r="X29" i="38"/>
  <c r="L34" i="41"/>
  <c r="L20" i="44"/>
  <c r="J31" i="47"/>
  <c r="L25" i="50"/>
  <c r="X33" i="52"/>
  <c r="X24" i="53"/>
  <c r="R36" i="93"/>
  <c r="X16" i="95"/>
  <c r="X20" i="95"/>
  <c r="V21" i="95"/>
  <c r="L24" i="95"/>
  <c r="L33" i="95"/>
  <c r="X21" i="27"/>
  <c r="L22" i="30"/>
  <c r="X24" i="43"/>
  <c r="V20" i="47"/>
  <c r="V25" i="47"/>
  <c r="X24" i="50"/>
  <c r="R33" i="93"/>
  <c r="L22" i="94"/>
  <c r="Z12" i="95"/>
  <c r="L33" i="14"/>
  <c r="X34" i="14"/>
  <c r="L24" i="16"/>
  <c r="J31" i="16"/>
  <c r="X34" i="16"/>
  <c r="R21" i="17"/>
  <c r="L34" i="17"/>
  <c r="V20" i="19"/>
  <c r="L22" i="19"/>
  <c r="L29" i="19"/>
  <c r="L15" i="20"/>
  <c r="F24" i="20"/>
  <c r="V36" i="20"/>
  <c r="T18" i="23"/>
  <c r="T27" i="23" s="1"/>
  <c r="V20" i="24"/>
  <c r="L22" i="24"/>
  <c r="X12" i="27"/>
  <c r="F15" i="27"/>
  <c r="N16" i="27"/>
  <c r="R21" i="27"/>
  <c r="V36" i="27"/>
  <c r="X13" i="30"/>
  <c r="F22" i="30"/>
  <c r="N24" i="30"/>
  <c r="L22" i="32"/>
  <c r="X24" i="32"/>
  <c r="L34" i="33"/>
  <c r="L20" i="35"/>
  <c r="L21" i="37"/>
  <c r="X33" i="37"/>
  <c r="X15" i="38"/>
  <c r="L20" i="38"/>
  <c r="X25" i="40"/>
  <c r="X15" i="41"/>
  <c r="J31" i="41"/>
  <c r="L15" i="43"/>
  <c r="X16" i="43"/>
  <c r="R24" i="43"/>
  <c r="L29" i="43"/>
  <c r="X33" i="43"/>
  <c r="R33" i="44"/>
  <c r="J20" i="46"/>
  <c r="X21" i="46"/>
  <c r="J27" i="47"/>
  <c r="L25" i="49"/>
  <c r="F18" i="50"/>
  <c r="X22" i="50"/>
  <c r="R24" i="50"/>
  <c r="X33" i="50"/>
  <c r="X16" i="52"/>
  <c r="L29" i="53"/>
  <c r="P18" i="93"/>
  <c r="X22" i="93"/>
  <c r="F22" i="94"/>
  <c r="X24" i="94"/>
  <c r="V16" i="95"/>
  <c r="R15" i="14"/>
  <c r="L16" i="14"/>
  <c r="R21" i="14"/>
  <c r="R22" i="14"/>
  <c r="R24" i="14"/>
  <c r="X29" i="22"/>
  <c r="X16" i="24"/>
  <c r="X16" i="26"/>
  <c r="V18" i="4"/>
  <c r="J24" i="22"/>
  <c r="J22" i="22"/>
  <c r="J21" i="22"/>
  <c r="L20" i="7"/>
  <c r="X29" i="11"/>
  <c r="J22" i="4"/>
  <c r="F24" i="4"/>
  <c r="P18" i="5"/>
  <c r="F25" i="5"/>
  <c r="J31" i="5"/>
  <c r="F36" i="5"/>
  <c r="L13" i="7"/>
  <c r="F18" i="7"/>
  <c r="X24" i="7"/>
  <c r="F31" i="7"/>
  <c r="X21" i="10"/>
  <c r="V22" i="10"/>
  <c r="Z12" i="11"/>
  <c r="Z13" i="11"/>
  <c r="L16" i="11"/>
  <c r="N21" i="11"/>
  <c r="R22" i="11"/>
  <c r="R24" i="11"/>
  <c r="J31" i="11"/>
  <c r="J15" i="13"/>
  <c r="L20" i="13"/>
  <c r="L21" i="13"/>
  <c r="J27" i="13"/>
  <c r="J31" i="13"/>
  <c r="V31" i="14"/>
  <c r="V16" i="16"/>
  <c r="J25" i="16"/>
  <c r="J29" i="16"/>
  <c r="J33" i="16"/>
  <c r="F18" i="17"/>
  <c r="P18" i="19"/>
  <c r="X15" i="19"/>
  <c r="L24" i="20"/>
  <c r="N24" i="20"/>
  <c r="L16" i="22"/>
  <c r="X22" i="23"/>
  <c r="L25" i="29"/>
  <c r="F21" i="38"/>
  <c r="F18" i="38"/>
  <c r="F24" i="38"/>
  <c r="F20" i="38"/>
  <c r="F16" i="38"/>
  <c r="R16" i="4"/>
  <c r="N22" i="4"/>
  <c r="X13" i="5"/>
  <c r="R15" i="5"/>
  <c r="T18" i="5"/>
  <c r="T27" i="5" s="1"/>
  <c r="T31" i="5" s="1"/>
  <c r="V21" i="5"/>
  <c r="F29" i="5"/>
  <c r="V36" i="5"/>
  <c r="F16" i="7"/>
  <c r="H18" i="7"/>
  <c r="H27" i="7" s="1"/>
  <c r="N27" i="7" s="1"/>
  <c r="J29" i="7"/>
  <c r="V33" i="7"/>
  <c r="F36" i="7"/>
  <c r="R20" i="8"/>
  <c r="F16" i="11"/>
  <c r="P18" i="11"/>
  <c r="P27" i="11" s="1"/>
  <c r="P31" i="11" s="1"/>
  <c r="P36" i="11" s="1"/>
  <c r="V20" i="11"/>
  <c r="X12" i="14"/>
  <c r="F27" i="17"/>
  <c r="F20" i="19"/>
  <c r="D18" i="19"/>
  <c r="D27" i="19" s="1"/>
  <c r="F33" i="19"/>
  <c r="F34" i="19"/>
  <c r="F29" i="19"/>
  <c r="F31" i="19"/>
  <c r="R34" i="23"/>
  <c r="R25" i="23"/>
  <c r="R22" i="23"/>
  <c r="R29" i="23"/>
  <c r="R16" i="23"/>
  <c r="R15" i="23"/>
  <c r="R18" i="23"/>
  <c r="R21" i="23"/>
  <c r="J20" i="26"/>
  <c r="J34" i="26"/>
  <c r="J31" i="26"/>
  <c r="J27" i="26"/>
  <c r="L20" i="26"/>
  <c r="N20" i="26"/>
  <c r="Z16" i="44"/>
  <c r="X16" i="44"/>
  <c r="X22" i="5"/>
  <c r="L12" i="5"/>
  <c r="V18" i="5"/>
  <c r="F33" i="5"/>
  <c r="L12" i="7"/>
  <c r="J18" i="7"/>
  <c r="V21" i="7"/>
  <c r="F33" i="7"/>
  <c r="J36" i="7"/>
  <c r="N12" i="8"/>
  <c r="F18" i="8"/>
  <c r="R24" i="8"/>
  <c r="L34" i="10"/>
  <c r="L13" i="11"/>
  <c r="R18" i="11"/>
  <c r="V22" i="11"/>
  <c r="L29" i="11"/>
  <c r="X12" i="13"/>
  <c r="R15" i="13"/>
  <c r="J34" i="13"/>
  <c r="F15" i="14"/>
  <c r="X29" i="14"/>
  <c r="F33" i="14"/>
  <c r="F34" i="14"/>
  <c r="F36" i="14"/>
  <c r="L16" i="16"/>
  <c r="F18" i="16"/>
  <c r="L16" i="17"/>
  <c r="R18" i="17"/>
  <c r="L22" i="17"/>
  <c r="F33" i="17"/>
  <c r="J24" i="19"/>
  <c r="J22" i="19"/>
  <c r="J21" i="19"/>
  <c r="N12" i="19"/>
  <c r="F18" i="19"/>
  <c r="F27" i="19"/>
  <c r="L20" i="20"/>
  <c r="X33" i="22"/>
  <c r="V34" i="23"/>
  <c r="V15" i="23"/>
  <c r="V36" i="23"/>
  <c r="V33" i="23"/>
  <c r="R20" i="23"/>
  <c r="L34" i="23"/>
  <c r="L21" i="24"/>
  <c r="N12" i="26"/>
  <c r="X25" i="26"/>
  <c r="X33" i="26"/>
  <c r="F24" i="29"/>
  <c r="D18" i="29"/>
  <c r="D27" i="29" s="1"/>
  <c r="F15" i="29"/>
  <c r="F36" i="29"/>
  <c r="F34" i="29"/>
  <c r="F33" i="29"/>
  <c r="F22" i="29"/>
  <c r="L12" i="29"/>
  <c r="F29" i="29"/>
  <c r="F21" i="29"/>
  <c r="F25" i="29"/>
  <c r="F16" i="29"/>
  <c r="X22" i="29"/>
  <c r="V20" i="35"/>
  <c r="V34" i="35"/>
  <c r="V25" i="35"/>
  <c r="Z12" i="35"/>
  <c r="V36" i="35"/>
  <c r="V31" i="35"/>
  <c r="V27" i="35"/>
  <c r="V22" i="35"/>
  <c r="V21" i="35"/>
  <c r="L34" i="35"/>
  <c r="L33" i="37"/>
  <c r="N15" i="50"/>
  <c r="L15" i="50"/>
  <c r="N12" i="5"/>
  <c r="V15" i="5"/>
  <c r="L21" i="5"/>
  <c r="L22" i="5"/>
  <c r="J34" i="5"/>
  <c r="N12" i="7"/>
  <c r="T18" i="7"/>
  <c r="T27" i="7" s="1"/>
  <c r="T31" i="7" s="1"/>
  <c r="V25" i="7"/>
  <c r="V36" i="7"/>
  <c r="L16" i="8"/>
  <c r="R18" i="8"/>
  <c r="V22" i="8"/>
  <c r="L15" i="10"/>
  <c r="L16" i="10"/>
  <c r="V25" i="10"/>
  <c r="L33" i="10"/>
  <c r="V18" i="11"/>
  <c r="V16" i="13"/>
  <c r="X21" i="13"/>
  <c r="X34" i="13"/>
  <c r="L15" i="14"/>
  <c r="V16" i="14"/>
  <c r="J21" i="14"/>
  <c r="L22" i="14"/>
  <c r="F27" i="14"/>
  <c r="V36" i="14"/>
  <c r="L15" i="16"/>
  <c r="F16" i="16"/>
  <c r="H18" i="16"/>
  <c r="H27" i="16" s="1"/>
  <c r="X21" i="16"/>
  <c r="X24" i="16"/>
  <c r="F15" i="17"/>
  <c r="F22" i="17"/>
  <c r="F29" i="17"/>
  <c r="L12" i="19"/>
  <c r="F34" i="20"/>
  <c r="F29" i="20"/>
  <c r="F33" i="20"/>
  <c r="F16" i="20"/>
  <c r="D18" i="20"/>
  <c r="D27" i="20" s="1"/>
  <c r="F15" i="20"/>
  <c r="F36" i="20"/>
  <c r="F20" i="20"/>
  <c r="X15" i="22"/>
  <c r="N29" i="33"/>
  <c r="L29" i="33"/>
  <c r="T18" i="35"/>
  <c r="Z18" i="35" s="1"/>
  <c r="X34" i="37"/>
  <c r="Z34" i="37"/>
  <c r="Z33" i="19"/>
  <c r="X33" i="19"/>
  <c r="N29" i="44"/>
  <c r="L29" i="44"/>
  <c r="H18" i="5"/>
  <c r="H27" i="5" s="1"/>
  <c r="N27" i="5" s="1"/>
  <c r="R25" i="11"/>
  <c r="N12" i="4"/>
  <c r="F18" i="4"/>
  <c r="R20" i="4"/>
  <c r="V22" i="4"/>
  <c r="R24" i="4"/>
  <c r="L15" i="5"/>
  <c r="V25" i="5"/>
  <c r="F25" i="7"/>
  <c r="J33" i="7"/>
  <c r="F34" i="7"/>
  <c r="L15" i="8"/>
  <c r="V18" i="8"/>
  <c r="L29" i="10"/>
  <c r="R15" i="11"/>
  <c r="R33" i="11"/>
  <c r="X24" i="13"/>
  <c r="J15" i="14"/>
  <c r="J27" i="14"/>
  <c r="J34" i="14"/>
  <c r="T18" i="22"/>
  <c r="T27" i="22" s="1"/>
  <c r="T31" i="22" s="1"/>
  <c r="V36" i="26"/>
  <c r="V18" i="26"/>
  <c r="Z12" i="26"/>
  <c r="V16" i="26"/>
  <c r="V15" i="26"/>
  <c r="R20" i="37"/>
  <c r="R15" i="37"/>
  <c r="P18" i="37"/>
  <c r="P27" i="37" s="1"/>
  <c r="Z16" i="41"/>
  <c r="X16" i="41"/>
  <c r="R24" i="52"/>
  <c r="X12" i="52"/>
  <c r="L15" i="4"/>
  <c r="R18" i="4"/>
  <c r="F15" i="5"/>
  <c r="V29" i="5"/>
  <c r="X34" i="5"/>
  <c r="F15" i="7"/>
  <c r="X16" i="7"/>
  <c r="F20" i="7"/>
  <c r="F21" i="7"/>
  <c r="L24" i="7"/>
  <c r="F27" i="7"/>
  <c r="F15" i="8"/>
  <c r="L20" i="8"/>
  <c r="L21" i="8"/>
  <c r="L24" i="8"/>
  <c r="L25" i="8"/>
  <c r="F29" i="10"/>
  <c r="R29" i="11"/>
  <c r="R36" i="11"/>
  <c r="V21" i="13"/>
  <c r="R24" i="13"/>
  <c r="L12" i="14"/>
  <c r="N15" i="14"/>
  <c r="F16" i="14"/>
  <c r="F18" i="14"/>
  <c r="J22" i="14"/>
  <c r="J24" i="14"/>
  <c r="V27" i="14"/>
  <c r="X33" i="14"/>
  <c r="J15" i="16"/>
  <c r="L20" i="16"/>
  <c r="V21" i="16"/>
  <c r="R27" i="16"/>
  <c r="R16" i="17"/>
  <c r="J20" i="17"/>
  <c r="J22" i="17"/>
  <c r="X22" i="19"/>
  <c r="F25" i="19"/>
  <c r="L12" i="20"/>
  <c r="F25" i="20"/>
  <c r="F20" i="22"/>
  <c r="F36" i="22"/>
  <c r="F34" i="22"/>
  <c r="F33" i="22"/>
  <c r="F15" i="22"/>
  <c r="F18" i="22"/>
  <c r="F29" i="22"/>
  <c r="D18" i="22"/>
  <c r="D27" i="22" s="1"/>
  <c r="F31" i="22"/>
  <c r="F25" i="22"/>
  <c r="L12" i="22"/>
  <c r="V25" i="23"/>
  <c r="X34" i="24"/>
  <c r="X34" i="29"/>
  <c r="N15" i="37"/>
  <c r="L15" i="37"/>
  <c r="N21" i="37"/>
  <c r="V15" i="20"/>
  <c r="X16" i="20"/>
  <c r="X29" i="20"/>
  <c r="R15" i="22"/>
  <c r="V18" i="22"/>
  <c r="L21" i="22"/>
  <c r="L22" i="22"/>
  <c r="V29" i="22"/>
  <c r="R33" i="22"/>
  <c r="L29" i="23"/>
  <c r="F33" i="23"/>
  <c r="X15" i="24"/>
  <c r="V16" i="24"/>
  <c r="L33" i="24"/>
  <c r="R25" i="26"/>
  <c r="R29" i="26"/>
  <c r="R33" i="26"/>
  <c r="X34" i="26"/>
  <c r="L13" i="27"/>
  <c r="L13" i="29"/>
  <c r="V21" i="29"/>
  <c r="V22" i="29"/>
  <c r="V27" i="29"/>
  <c r="R15" i="30"/>
  <c r="R16" i="30"/>
  <c r="L20" i="30"/>
  <c r="L25" i="30"/>
  <c r="X34" i="30"/>
  <c r="F27" i="32"/>
  <c r="R29" i="32"/>
  <c r="X15" i="33"/>
  <c r="R20" i="33"/>
  <c r="X33" i="33"/>
  <c r="R18" i="35"/>
  <c r="V24" i="37"/>
  <c r="V34" i="37"/>
  <c r="J21" i="37"/>
  <c r="X29" i="37"/>
  <c r="J36" i="38"/>
  <c r="N12" i="38"/>
  <c r="J21" i="38"/>
  <c r="J22" i="38"/>
  <c r="J15" i="38"/>
  <c r="V36" i="40"/>
  <c r="V34" i="40"/>
  <c r="V18" i="40"/>
  <c r="V20" i="40"/>
  <c r="V16" i="40"/>
  <c r="V31" i="40"/>
  <c r="V27" i="40"/>
  <c r="V22" i="40"/>
  <c r="Z12" i="40"/>
  <c r="R18" i="41"/>
  <c r="R29" i="41"/>
  <c r="R16" i="41"/>
  <c r="R33" i="41"/>
  <c r="L15" i="41"/>
  <c r="J20" i="44"/>
  <c r="J15" i="44"/>
  <c r="J34" i="44"/>
  <c r="J18" i="44"/>
  <c r="N12" i="44"/>
  <c r="J31" i="44"/>
  <c r="J27" i="44"/>
  <c r="V18" i="49"/>
  <c r="T18" i="49"/>
  <c r="T27" i="49" s="1"/>
  <c r="Z27" i="49" s="1"/>
  <c r="V21" i="49"/>
  <c r="Z12" i="49"/>
  <c r="V20" i="49"/>
  <c r="X12" i="49"/>
  <c r="L21" i="49"/>
  <c r="L22" i="52"/>
  <c r="F24" i="53"/>
  <c r="V36" i="19"/>
  <c r="R20" i="20"/>
  <c r="V29" i="20"/>
  <c r="V15" i="22"/>
  <c r="X24" i="22"/>
  <c r="V33" i="22"/>
  <c r="F22" i="23"/>
  <c r="F25" i="23"/>
  <c r="R21" i="26"/>
  <c r="X22" i="26"/>
  <c r="L12" i="27"/>
  <c r="F33" i="27"/>
  <c r="L34" i="27"/>
  <c r="L24" i="29"/>
  <c r="V31" i="29"/>
  <c r="V34" i="29"/>
  <c r="R15" i="32"/>
  <c r="R20" i="32"/>
  <c r="R21" i="32"/>
  <c r="V27" i="32"/>
  <c r="F31" i="32"/>
  <c r="R33" i="32"/>
  <c r="J18" i="33"/>
  <c r="X12" i="35"/>
  <c r="F15" i="35"/>
  <c r="L24" i="35"/>
  <c r="F29" i="35"/>
  <c r="F33" i="35"/>
  <c r="J15" i="37"/>
  <c r="L16" i="37"/>
  <c r="X22" i="37"/>
  <c r="L15" i="38"/>
  <c r="X12" i="46"/>
  <c r="R18" i="46"/>
  <c r="P18" i="46"/>
  <c r="P27" i="46" s="1"/>
  <c r="L21" i="47"/>
  <c r="V16" i="49"/>
  <c r="J20" i="93"/>
  <c r="J22" i="93"/>
  <c r="J34" i="93"/>
  <c r="J31" i="93"/>
  <c r="J27" i="93"/>
  <c r="N12" i="93"/>
  <c r="J21" i="95"/>
  <c r="J15" i="95"/>
  <c r="H18" i="95"/>
  <c r="J24" i="95"/>
  <c r="V15" i="19"/>
  <c r="L34" i="19"/>
  <c r="R18" i="20"/>
  <c r="X20" i="20"/>
  <c r="V22" i="20"/>
  <c r="V25" i="20"/>
  <c r="X13" i="22"/>
  <c r="R24" i="22"/>
  <c r="R25" i="22"/>
  <c r="V31" i="22"/>
  <c r="V34" i="22"/>
  <c r="F36" i="23"/>
  <c r="X13" i="24"/>
  <c r="R18" i="24"/>
  <c r="V21" i="24"/>
  <c r="F18" i="26"/>
  <c r="Z22" i="26"/>
  <c r="R36" i="26"/>
  <c r="V15" i="27"/>
  <c r="F21" i="27"/>
  <c r="L25" i="27"/>
  <c r="F29" i="27"/>
  <c r="N34" i="27"/>
  <c r="V15" i="29"/>
  <c r="R24" i="30"/>
  <c r="J18" i="32"/>
  <c r="J31" i="32"/>
  <c r="V34" i="32"/>
  <c r="R18" i="33"/>
  <c r="L13" i="37"/>
  <c r="L13" i="40"/>
  <c r="L25" i="41"/>
  <c r="Z16" i="46"/>
  <c r="X16" i="46"/>
  <c r="L29" i="50"/>
  <c r="F18" i="53"/>
  <c r="X33" i="53"/>
  <c r="X13" i="19"/>
  <c r="V16" i="19"/>
  <c r="R24" i="19"/>
  <c r="T18" i="20"/>
  <c r="T27" i="20" s="1"/>
  <c r="L29" i="20"/>
  <c r="L15" i="22"/>
  <c r="X21" i="22"/>
  <c r="L33" i="22"/>
  <c r="X25" i="23"/>
  <c r="V22" i="24"/>
  <c r="P18" i="26"/>
  <c r="P27" i="26" s="1"/>
  <c r="P31" i="26" s="1"/>
  <c r="V16" i="27"/>
  <c r="F22" i="27"/>
  <c r="L24" i="27"/>
  <c r="F25" i="27"/>
  <c r="X24" i="29"/>
  <c r="F18" i="30"/>
  <c r="R20" i="30"/>
  <c r="V22" i="30"/>
  <c r="V15" i="32"/>
  <c r="P18" i="32"/>
  <c r="P27" i="32" s="1"/>
  <c r="V31" i="32"/>
  <c r="F16" i="33"/>
  <c r="F22" i="33"/>
  <c r="F24" i="33"/>
  <c r="F22" i="35"/>
  <c r="Z15" i="44"/>
  <c r="X15" i="44"/>
  <c r="R36" i="94"/>
  <c r="X12" i="94"/>
  <c r="L15" i="19"/>
  <c r="X21" i="19"/>
  <c r="R22" i="19"/>
  <c r="V25" i="19"/>
  <c r="X34" i="19"/>
  <c r="X15" i="20"/>
  <c r="L22" i="20"/>
  <c r="L25" i="20"/>
  <c r="Z12" i="22"/>
  <c r="P18" i="22"/>
  <c r="R21" i="22"/>
  <c r="V22" i="22"/>
  <c r="V25" i="22"/>
  <c r="L12" i="23"/>
  <c r="X21" i="23"/>
  <c r="X24" i="23"/>
  <c r="Z12" i="24"/>
  <c r="L15" i="24"/>
  <c r="N16" i="26"/>
  <c r="L22" i="26"/>
  <c r="L15" i="27"/>
  <c r="X20" i="27"/>
  <c r="X33" i="27"/>
  <c r="V16" i="29"/>
  <c r="X21" i="29"/>
  <c r="V25" i="29"/>
  <c r="V36" i="29"/>
  <c r="P18" i="30"/>
  <c r="P27" i="30" s="1"/>
  <c r="P31" i="30" s="1"/>
  <c r="L29" i="30"/>
  <c r="R18" i="32"/>
  <c r="X25" i="32"/>
  <c r="F34" i="32"/>
  <c r="R36" i="32"/>
  <c r="F20" i="33"/>
  <c r="F21" i="33"/>
  <c r="X21" i="35"/>
  <c r="X15" i="37"/>
  <c r="V31" i="37"/>
  <c r="J18" i="38"/>
  <c r="F18" i="40"/>
  <c r="F22" i="40"/>
  <c r="F34" i="40"/>
  <c r="F31" i="40"/>
  <c r="R21" i="41"/>
  <c r="Z20" i="44"/>
  <c r="X20" i="44"/>
  <c r="X33" i="44"/>
  <c r="R15" i="46"/>
  <c r="R20" i="47"/>
  <c r="R33" i="47"/>
  <c r="R21" i="47"/>
  <c r="R18" i="47"/>
  <c r="R24" i="47"/>
  <c r="R22" i="47"/>
  <c r="R36" i="47"/>
  <c r="R25" i="47"/>
  <c r="J20" i="50"/>
  <c r="J18" i="50"/>
  <c r="N12" i="50"/>
  <c r="L21" i="26"/>
  <c r="X29" i="27"/>
  <c r="Z12" i="29"/>
  <c r="R21" i="29"/>
  <c r="R18" i="30"/>
  <c r="L16" i="32"/>
  <c r="T18" i="32"/>
  <c r="T27" i="32" s="1"/>
  <c r="Z27" i="32" s="1"/>
  <c r="R25" i="32"/>
  <c r="X25" i="33"/>
  <c r="R21" i="35"/>
  <c r="J36" i="37"/>
  <c r="J34" i="37"/>
  <c r="X13" i="37"/>
  <c r="H18" i="37"/>
  <c r="H27" i="37" s="1"/>
  <c r="N27" i="37" s="1"/>
  <c r="X25" i="37"/>
  <c r="F34" i="37"/>
  <c r="X21" i="38"/>
  <c r="R25" i="41"/>
  <c r="J22" i="49"/>
  <c r="J15" i="49"/>
  <c r="H18" i="49"/>
  <c r="H27" i="49" s="1"/>
  <c r="H31" i="49" s="1"/>
  <c r="J21" i="49"/>
  <c r="V27" i="49"/>
  <c r="Z29" i="50"/>
  <c r="X29" i="50"/>
  <c r="P27" i="93"/>
  <c r="P31" i="93" s="1"/>
  <c r="Z33" i="93"/>
  <c r="X33" i="93"/>
  <c r="L20" i="41"/>
  <c r="X29" i="41"/>
  <c r="Z12" i="43"/>
  <c r="F27" i="43"/>
  <c r="V31" i="43"/>
  <c r="R21" i="44"/>
  <c r="X22" i="44"/>
  <c r="R36" i="44"/>
  <c r="L21" i="46"/>
  <c r="F22" i="46"/>
  <c r="V25" i="46"/>
  <c r="X24" i="47"/>
  <c r="V33" i="47"/>
  <c r="L12" i="49"/>
  <c r="F27" i="52"/>
  <c r="X13" i="53"/>
  <c r="J18" i="53"/>
  <c r="R24" i="93"/>
  <c r="F16" i="94"/>
  <c r="V18" i="94"/>
  <c r="V34" i="94"/>
  <c r="V15" i="95"/>
  <c r="L34" i="38"/>
  <c r="L25" i="40"/>
  <c r="L29" i="40"/>
  <c r="L33" i="40"/>
  <c r="L13" i="41"/>
  <c r="X25" i="41"/>
  <c r="V22" i="43"/>
  <c r="V27" i="43"/>
  <c r="L33" i="43"/>
  <c r="X13" i="44"/>
  <c r="R15" i="44"/>
  <c r="R16" i="44"/>
  <c r="R20" i="44"/>
  <c r="X24" i="46"/>
  <c r="L29" i="46"/>
  <c r="N12" i="47"/>
  <c r="V15" i="47"/>
  <c r="V29" i="47"/>
  <c r="V36" i="47"/>
  <c r="F27" i="49"/>
  <c r="F31" i="49"/>
  <c r="R18" i="50"/>
  <c r="L15" i="52"/>
  <c r="L16" i="52"/>
  <c r="X21" i="52"/>
  <c r="X22" i="52"/>
  <c r="L25" i="52"/>
  <c r="V27" i="52"/>
  <c r="F31" i="52"/>
  <c r="J22" i="53"/>
  <c r="L16" i="93"/>
  <c r="F18" i="93"/>
  <c r="R20" i="93"/>
  <c r="X21" i="93"/>
  <c r="L34" i="93"/>
  <c r="L15" i="94"/>
  <c r="L20" i="94"/>
  <c r="F21" i="95"/>
  <c r="X15" i="43"/>
  <c r="F22" i="43"/>
  <c r="V22" i="47"/>
  <c r="D18" i="49"/>
  <c r="J15" i="52"/>
  <c r="J25" i="52"/>
  <c r="F34" i="52"/>
  <c r="R24" i="53"/>
  <c r="X20" i="93"/>
  <c r="F15" i="95"/>
  <c r="L21" i="95"/>
  <c r="X13" i="38"/>
  <c r="R20" i="38"/>
  <c r="R22" i="38"/>
  <c r="X24" i="38"/>
  <c r="R24" i="40"/>
  <c r="J27" i="41"/>
  <c r="J34" i="41"/>
  <c r="V18" i="43"/>
  <c r="V34" i="43"/>
  <c r="L22" i="44"/>
  <c r="R25" i="44"/>
  <c r="V15" i="46"/>
  <c r="V22" i="46"/>
  <c r="L25" i="46"/>
  <c r="Z12" i="47"/>
  <c r="T18" i="47"/>
  <c r="T27" i="47" s="1"/>
  <c r="T31" i="47" s="1"/>
  <c r="T36" i="47" s="1"/>
  <c r="Z36" i="47" s="1"/>
  <c r="F15" i="49"/>
  <c r="N34" i="49"/>
  <c r="R16" i="50"/>
  <c r="X34" i="50"/>
  <c r="L13" i="52"/>
  <c r="F21" i="52"/>
  <c r="J29" i="52"/>
  <c r="X20" i="53"/>
  <c r="X25" i="53"/>
  <c r="V18" i="93"/>
  <c r="X20" i="94"/>
  <c r="F27" i="94"/>
  <c r="V31" i="94"/>
  <c r="F16" i="95"/>
  <c r="R22" i="95"/>
  <c r="Z24" i="38"/>
  <c r="L16" i="40"/>
  <c r="L20" i="40"/>
  <c r="J21" i="40"/>
  <c r="R25" i="40"/>
  <c r="R29" i="40"/>
  <c r="R33" i="40"/>
  <c r="J18" i="41"/>
  <c r="F24" i="41"/>
  <c r="L16" i="43"/>
  <c r="L20" i="43"/>
  <c r="J21" i="43"/>
  <c r="P18" i="44"/>
  <c r="L21" i="44"/>
  <c r="X24" i="44"/>
  <c r="R29" i="44"/>
  <c r="V21" i="46"/>
  <c r="V29" i="46"/>
  <c r="V18" i="47"/>
  <c r="L25" i="47"/>
  <c r="X33" i="47"/>
  <c r="L16" i="49"/>
  <c r="L24" i="49"/>
  <c r="X20" i="50"/>
  <c r="X15" i="52"/>
  <c r="H18" i="52"/>
  <c r="H27" i="52" s="1"/>
  <c r="N27" i="52" s="1"/>
  <c r="J33" i="52"/>
  <c r="R15" i="93"/>
  <c r="R16" i="93"/>
  <c r="L20" i="93"/>
  <c r="V22" i="94"/>
  <c r="V27" i="94"/>
  <c r="L33" i="94"/>
  <c r="V20" i="95"/>
  <c r="X33" i="95"/>
  <c r="L22" i="41"/>
  <c r="X21" i="43"/>
  <c r="L33" i="46"/>
  <c r="L22" i="47"/>
  <c r="L13" i="49"/>
  <c r="F16" i="49"/>
  <c r="F21" i="49"/>
  <c r="X25" i="49"/>
  <c r="X29" i="49"/>
  <c r="X33" i="49"/>
  <c r="L20" i="52"/>
  <c r="J21" i="52"/>
  <c r="X29" i="52"/>
  <c r="L21" i="93"/>
  <c r="L29" i="94"/>
  <c r="X34" i="94"/>
  <c r="X15" i="95"/>
  <c r="L29" i="95"/>
  <c r="V48" i="3"/>
  <c r="Z25" i="3"/>
  <c r="V80" i="3"/>
  <c r="X89" i="3"/>
  <c r="N91" i="3"/>
  <c r="N105" i="3"/>
  <c r="N157" i="3"/>
  <c r="Z89" i="3"/>
  <c r="H31" i="7"/>
  <c r="N18" i="9"/>
  <c r="V183" i="3"/>
  <c r="V174" i="3"/>
  <c r="V166" i="3"/>
  <c r="V156" i="3"/>
  <c r="V152" i="3"/>
  <c r="V144" i="3"/>
  <c r="V140" i="3"/>
  <c r="V136" i="3"/>
  <c r="V132" i="3"/>
  <c r="V128" i="3"/>
  <c r="V120" i="3"/>
  <c r="V112" i="3"/>
  <c r="V108" i="3"/>
  <c r="V100" i="3"/>
  <c r="V96" i="3"/>
  <c r="V88" i="3"/>
  <c r="V84" i="3"/>
  <c r="V76" i="3"/>
  <c r="V72" i="3"/>
  <c r="V60" i="3"/>
  <c r="V52" i="3"/>
  <c r="V44" i="3"/>
  <c r="V36" i="3"/>
  <c r="V28" i="3"/>
  <c r="V164" i="3"/>
  <c r="V160" i="3"/>
  <c r="V171" i="3"/>
  <c r="V155" i="3"/>
  <c r="V151" i="3"/>
  <c r="V143" i="3"/>
  <c r="V135" i="3"/>
  <c r="V131" i="3"/>
  <c r="V127" i="3"/>
  <c r="V123" i="3"/>
  <c r="V115" i="3"/>
  <c r="V99" i="3"/>
  <c r="V87" i="3"/>
  <c r="V83" i="3"/>
  <c r="V71" i="3"/>
  <c r="V59" i="3"/>
  <c r="V51" i="3"/>
  <c r="V43" i="3"/>
  <c r="V35" i="3"/>
  <c r="V27" i="3"/>
  <c r="V182" i="3"/>
  <c r="V124" i="3"/>
  <c r="V168" i="3"/>
  <c r="V162" i="3"/>
  <c r="V158" i="3"/>
  <c r="V154" i="3"/>
  <c r="V150" i="3"/>
  <c r="V134" i="3"/>
  <c r="V130" i="3"/>
  <c r="V126" i="3"/>
  <c r="V122" i="3"/>
  <c r="V114" i="3"/>
  <c r="V102" i="3"/>
  <c r="V90" i="3"/>
  <c r="V82" i="3"/>
  <c r="V70" i="3"/>
  <c r="V58" i="3"/>
  <c r="V50" i="3"/>
  <c r="V42" i="3"/>
  <c r="V34" i="3"/>
  <c r="V26" i="3"/>
  <c r="V173" i="3"/>
  <c r="V161" i="3"/>
  <c r="V157" i="3"/>
  <c r="V149" i="3"/>
  <c r="V129" i="3"/>
  <c r="V125" i="3"/>
  <c r="V117" i="3"/>
  <c r="V101" i="3"/>
  <c r="V89" i="3"/>
  <c r="V81" i="3"/>
  <c r="V69" i="3"/>
  <c r="V57" i="3"/>
  <c r="V49" i="3"/>
  <c r="V41" i="3"/>
  <c r="V33" i="3"/>
  <c r="V25" i="3"/>
  <c r="V167" i="3"/>
  <c r="V163" i="3"/>
  <c r="V159" i="3"/>
  <c r="V147" i="3"/>
  <c r="V139" i="3"/>
  <c r="V119" i="3"/>
  <c r="V111" i="3"/>
  <c r="V107" i="3"/>
  <c r="V103" i="3"/>
  <c r="V95" i="3"/>
  <c r="V91" i="3"/>
  <c r="V79" i="3"/>
  <c r="V75" i="3"/>
  <c r="V67" i="3"/>
  <c r="T62" i="3"/>
  <c r="V55" i="3"/>
  <c r="V47" i="3"/>
  <c r="V39" i="3"/>
  <c r="V31" i="3"/>
  <c r="V46" i="3"/>
  <c r="V38" i="3"/>
  <c r="V30" i="3"/>
  <c r="V29" i="3"/>
  <c r="V148" i="3"/>
  <c r="V172" i="3"/>
  <c r="V146" i="3"/>
  <c r="V142" i="3"/>
  <c r="V138" i="3"/>
  <c r="V118" i="3"/>
  <c r="V110" i="3"/>
  <c r="V106" i="3"/>
  <c r="V98" i="3"/>
  <c r="V94" i="3"/>
  <c r="V86" i="3"/>
  <c r="V78" i="3"/>
  <c r="V74" i="3"/>
  <c r="V66" i="3"/>
  <c r="V54" i="3"/>
  <c r="V169" i="3"/>
  <c r="V153" i="3"/>
  <c r="V145" i="3"/>
  <c r="V141" i="3"/>
  <c r="V137" i="3"/>
  <c r="V133" i="3"/>
  <c r="V121" i="3"/>
  <c r="V113" i="3"/>
  <c r="V109" i="3"/>
  <c r="V105" i="3"/>
  <c r="V97" i="3"/>
  <c r="V93" i="3"/>
  <c r="V85" i="3"/>
  <c r="V77" i="3"/>
  <c r="V73" i="3"/>
  <c r="V65" i="3"/>
  <c r="V53" i="3"/>
  <c r="V45" i="3"/>
  <c r="V37" i="3"/>
  <c r="V178" i="3"/>
  <c r="V170" i="3"/>
  <c r="V40" i="3"/>
  <c r="Z64" i="3"/>
  <c r="Z91" i="3"/>
  <c r="Z99" i="3"/>
  <c r="Z143" i="3"/>
  <c r="Z157" i="3"/>
  <c r="P26" i="6"/>
  <c r="D12" i="3"/>
  <c r="N103" i="3"/>
  <c r="Z134" i="3"/>
  <c r="D101" i="9"/>
  <c r="Z18" i="9"/>
  <c r="V64" i="3"/>
  <c r="V32" i="3"/>
  <c r="V62" i="3"/>
  <c r="Z101" i="3"/>
  <c r="N124" i="3"/>
  <c r="Z129" i="3"/>
  <c r="N28" i="6"/>
  <c r="Z29" i="6"/>
  <c r="H167" i="12"/>
  <c r="L64" i="3"/>
  <c r="Z103" i="3"/>
  <c r="H22" i="6"/>
  <c r="N16" i="6"/>
  <c r="N64" i="3"/>
  <c r="V68" i="3"/>
  <c r="V92" i="3"/>
  <c r="T22" i="6"/>
  <c r="Z16" i="6"/>
  <c r="R27" i="7"/>
  <c r="J33" i="3"/>
  <c r="J41" i="3"/>
  <c r="J49" i="3"/>
  <c r="J57" i="3"/>
  <c r="J69" i="3"/>
  <c r="J81" i="3"/>
  <c r="J87" i="3"/>
  <c r="J99" i="3"/>
  <c r="J117" i="3"/>
  <c r="J125" i="3"/>
  <c r="J143" i="3"/>
  <c r="J149" i="3"/>
  <c r="J161" i="3"/>
  <c r="J168" i="3"/>
  <c r="R15" i="4"/>
  <c r="P18" i="4"/>
  <c r="R25" i="4"/>
  <c r="J27" i="4"/>
  <c r="R29" i="4"/>
  <c r="J31" i="4"/>
  <c r="R33" i="4"/>
  <c r="J34" i="4"/>
  <c r="R36" i="4"/>
  <c r="Z12" i="5"/>
  <c r="F16" i="5"/>
  <c r="V16" i="5"/>
  <c r="N18" i="5"/>
  <c r="F20" i="5"/>
  <c r="V20" i="5"/>
  <c r="R22" i="5"/>
  <c r="J24" i="5"/>
  <c r="Z12" i="6"/>
  <c r="R14" i="6"/>
  <c r="J16" i="6"/>
  <c r="R18" i="6"/>
  <c r="J20" i="6"/>
  <c r="R22" i="6"/>
  <c r="J26" i="6"/>
  <c r="R28" i="6"/>
  <c r="J29" i="6"/>
  <c r="R31" i="6"/>
  <c r="J16" i="7"/>
  <c r="R18" i="7"/>
  <c r="J20" i="7"/>
  <c r="V22" i="7"/>
  <c r="R15" i="8"/>
  <c r="P18" i="8"/>
  <c r="R25" i="8"/>
  <c r="J27" i="8"/>
  <c r="R29" i="8"/>
  <c r="J31" i="8"/>
  <c r="R33" i="8"/>
  <c r="J34" i="8"/>
  <c r="R36" i="8"/>
  <c r="R19" i="9"/>
  <c r="J21" i="9"/>
  <c r="F22" i="9"/>
  <c r="V25" i="9"/>
  <c r="R26" i="9"/>
  <c r="J29" i="9"/>
  <c r="F30" i="9"/>
  <c r="R31" i="9"/>
  <c r="J33" i="9"/>
  <c r="F34" i="9"/>
  <c r="V37" i="9"/>
  <c r="R38" i="9"/>
  <c r="J41" i="9"/>
  <c r="V45" i="9"/>
  <c r="J49" i="9"/>
  <c r="F50" i="9"/>
  <c r="R51" i="9"/>
  <c r="F53" i="9"/>
  <c r="V53" i="9"/>
  <c r="R54" i="9"/>
  <c r="J55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R78" i="9"/>
  <c r="J79" i="9"/>
  <c r="V81" i="9"/>
  <c r="R82" i="9"/>
  <c r="J85" i="9"/>
  <c r="F89" i="9"/>
  <c r="V89" i="9"/>
  <c r="R90" i="9"/>
  <c r="J91" i="9"/>
  <c r="V93" i="9"/>
  <c r="F97" i="9"/>
  <c r="V97" i="9"/>
  <c r="V99" i="9"/>
  <c r="F104" i="9"/>
  <c r="V104" i="9"/>
  <c r="N12" i="10"/>
  <c r="F18" i="10"/>
  <c r="V18" i="10"/>
  <c r="X25" i="10"/>
  <c r="R27" i="10"/>
  <c r="J21" i="11"/>
  <c r="J18" i="11"/>
  <c r="J36" i="11"/>
  <c r="J33" i="11"/>
  <c r="J29" i="11"/>
  <c r="J25" i="11"/>
  <c r="H18" i="11"/>
  <c r="J15" i="11"/>
  <c r="J16" i="11"/>
  <c r="N58" i="12"/>
  <c r="N83" i="12"/>
  <c r="N95" i="12"/>
  <c r="Z107" i="12"/>
  <c r="X107" i="12"/>
  <c r="X111" i="12"/>
  <c r="J138" i="12"/>
  <c r="L25" i="13"/>
  <c r="L93" i="15"/>
  <c r="N93" i="15" s="1"/>
  <c r="Z103" i="15"/>
  <c r="X103" i="15"/>
  <c r="Z144" i="15"/>
  <c r="V29" i="18"/>
  <c r="Z105" i="12"/>
  <c r="J50" i="3"/>
  <c r="J58" i="3"/>
  <c r="J70" i="3"/>
  <c r="J76" i="3"/>
  <c r="J82" i="3"/>
  <c r="J90" i="3"/>
  <c r="J96" i="3"/>
  <c r="J102" i="3"/>
  <c r="J108" i="3"/>
  <c r="J112" i="3"/>
  <c r="J120" i="3"/>
  <c r="J126" i="3"/>
  <c r="J130" i="3"/>
  <c r="J140" i="3"/>
  <c r="J150" i="3"/>
  <c r="J158" i="3"/>
  <c r="J162" i="3"/>
  <c r="J166" i="3"/>
  <c r="J171" i="3"/>
  <c r="J183" i="3"/>
  <c r="J16" i="4"/>
  <c r="J20" i="4"/>
  <c r="R25" i="5"/>
  <c r="R29" i="5"/>
  <c r="R33" i="5"/>
  <c r="R36" i="5"/>
  <c r="R21" i="7"/>
  <c r="J16" i="8"/>
  <c r="J20" i="8"/>
  <c r="J22" i="9"/>
  <c r="V26" i="9"/>
  <c r="R27" i="9"/>
  <c r="J30" i="9"/>
  <c r="J34" i="9"/>
  <c r="F35" i="9"/>
  <c r="V38" i="9"/>
  <c r="R39" i="9"/>
  <c r="F42" i="9"/>
  <c r="V42" i="9"/>
  <c r="R43" i="9"/>
  <c r="J44" i="9"/>
  <c r="F47" i="9"/>
  <c r="R48" i="9"/>
  <c r="J50" i="9"/>
  <c r="V54" i="9"/>
  <c r="J58" i="9"/>
  <c r="V62" i="9"/>
  <c r="V66" i="9"/>
  <c r="R67" i="9"/>
  <c r="J68" i="9"/>
  <c r="V70" i="9"/>
  <c r="R71" i="9"/>
  <c r="V74" i="9"/>
  <c r="R75" i="9"/>
  <c r="J76" i="9"/>
  <c r="V78" i="9"/>
  <c r="V82" i="9"/>
  <c r="R83" i="9"/>
  <c r="F86" i="9"/>
  <c r="V86" i="9"/>
  <c r="R87" i="9"/>
  <c r="V90" i="9"/>
  <c r="R22" i="10"/>
  <c r="R24" i="10"/>
  <c r="J15" i="10"/>
  <c r="H18" i="10"/>
  <c r="F21" i="10"/>
  <c r="V21" i="10"/>
  <c r="R25" i="10"/>
  <c r="V33" i="10"/>
  <c r="R34" i="10"/>
  <c r="J22" i="11"/>
  <c r="J27" i="11"/>
  <c r="D12" i="12"/>
  <c r="J50" i="12"/>
  <c r="J58" i="12"/>
  <c r="J66" i="12"/>
  <c r="J67" i="12"/>
  <c r="J71" i="12"/>
  <c r="J74" i="12"/>
  <c r="J82" i="12"/>
  <c r="J94" i="12"/>
  <c r="J110" i="12"/>
  <c r="Z111" i="12"/>
  <c r="J120" i="12"/>
  <c r="J135" i="12"/>
  <c r="J141" i="12"/>
  <c r="X22" i="13"/>
  <c r="D27" i="14"/>
  <c r="Z91" i="15"/>
  <c r="X91" i="15"/>
  <c r="R31" i="7"/>
  <c r="P12" i="3"/>
  <c r="J27" i="3"/>
  <c r="J35" i="3"/>
  <c r="J43" i="3"/>
  <c r="J51" i="3"/>
  <c r="J59" i="3"/>
  <c r="J65" i="3"/>
  <c r="J71" i="3"/>
  <c r="J83" i="3"/>
  <c r="J93" i="3"/>
  <c r="J105" i="3"/>
  <c r="J115" i="3"/>
  <c r="J123" i="3"/>
  <c r="J127" i="3"/>
  <c r="J131" i="3"/>
  <c r="J135" i="3"/>
  <c r="J151" i="3"/>
  <c r="J155" i="3"/>
  <c r="J174" i="3"/>
  <c r="L12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J20" i="5"/>
  <c r="F22" i="5"/>
  <c r="V22" i="5"/>
  <c r="F14" i="6"/>
  <c r="F18" i="6"/>
  <c r="V18" i="6"/>
  <c r="F22" i="6"/>
  <c r="V22" i="6"/>
  <c r="V24" i="6"/>
  <c r="F28" i="6"/>
  <c r="V28" i="6"/>
  <c r="F31" i="6"/>
  <c r="V31" i="6"/>
  <c r="V18" i="7"/>
  <c r="J22" i="7"/>
  <c r="R24" i="7"/>
  <c r="L12" i="8"/>
  <c r="V15" i="8"/>
  <c r="D18" i="8"/>
  <c r="T18" i="8"/>
  <c r="R21" i="8"/>
  <c r="F25" i="8"/>
  <c r="V25" i="8"/>
  <c r="F29" i="8"/>
  <c r="V29" i="8"/>
  <c r="F33" i="8"/>
  <c r="V33" i="8"/>
  <c r="F36" i="8"/>
  <c r="V36" i="8"/>
  <c r="L12" i="9"/>
  <c r="P16" i="9"/>
  <c r="R18" i="9"/>
  <c r="V19" i="9"/>
  <c r="R20" i="9"/>
  <c r="J23" i="9"/>
  <c r="V27" i="9"/>
  <c r="R28" i="9"/>
  <c r="F31" i="9"/>
  <c r="V31" i="9"/>
  <c r="R32" i="9"/>
  <c r="J35" i="9"/>
  <c r="F36" i="9"/>
  <c r="V39" i="9"/>
  <c r="R40" i="9"/>
  <c r="V43" i="9"/>
  <c r="J47" i="9"/>
  <c r="F51" i="9"/>
  <c r="V51" i="9"/>
  <c r="R52" i="9"/>
  <c r="J53" i="9"/>
  <c r="F56" i="9"/>
  <c r="R57" i="9"/>
  <c r="F59" i="9"/>
  <c r="V59" i="9"/>
  <c r="R60" i="9"/>
  <c r="J61" i="9"/>
  <c r="F64" i="9"/>
  <c r="V67" i="9"/>
  <c r="V71" i="9"/>
  <c r="R72" i="9"/>
  <c r="J73" i="9"/>
  <c r="V75" i="9"/>
  <c r="F80" i="9"/>
  <c r="V83" i="9"/>
  <c r="R84" i="9"/>
  <c r="V87" i="9"/>
  <c r="R88" i="9"/>
  <c r="J89" i="9"/>
  <c r="F92" i="9"/>
  <c r="R95" i="9"/>
  <c r="J97" i="9"/>
  <c r="R101" i="9"/>
  <c r="J104" i="9"/>
  <c r="V34" i="10"/>
  <c r="V31" i="10"/>
  <c r="V27" i="10"/>
  <c r="V24" i="10"/>
  <c r="R16" i="10"/>
  <c r="J18" i="10"/>
  <c r="R20" i="10"/>
  <c r="V29" i="10"/>
  <c r="F33" i="10"/>
  <c r="J24" i="11"/>
  <c r="L25" i="11"/>
  <c r="L33" i="11"/>
  <c r="J34" i="11"/>
  <c r="J162" i="12"/>
  <c r="J157" i="12"/>
  <c r="J144" i="12"/>
  <c r="J134" i="12"/>
  <c r="J126" i="12"/>
  <c r="J122" i="12"/>
  <c r="J118" i="12"/>
  <c r="J114" i="12"/>
  <c r="J154" i="12"/>
  <c r="J121" i="12"/>
  <c r="J117" i="12"/>
  <c r="J111" i="12"/>
  <c r="J99" i="12"/>
  <c r="J87" i="12"/>
  <c r="J77" i="12"/>
  <c r="J65" i="12"/>
  <c r="J59" i="12"/>
  <c r="J53" i="12"/>
  <c r="J45" i="12"/>
  <c r="J37" i="12"/>
  <c r="J29" i="12"/>
  <c r="J167" i="12"/>
  <c r="J160" i="12"/>
  <c r="J150" i="12"/>
  <c r="J146" i="12"/>
  <c r="J140" i="12"/>
  <c r="J130" i="12"/>
  <c r="J116" i="12"/>
  <c r="J108" i="12"/>
  <c r="J102" i="12"/>
  <c r="J96" i="12"/>
  <c r="J90" i="12"/>
  <c r="J84" i="12"/>
  <c r="J76" i="12"/>
  <c r="J70" i="12"/>
  <c r="J64" i="12"/>
  <c r="J52" i="12"/>
  <c r="J44" i="12"/>
  <c r="J36" i="12"/>
  <c r="J28" i="12"/>
  <c r="J156" i="12"/>
  <c r="J143" i="12"/>
  <c r="J139" i="12"/>
  <c r="J133" i="12"/>
  <c r="J125" i="12"/>
  <c r="J113" i="12"/>
  <c r="J105" i="12"/>
  <c r="J93" i="12"/>
  <c r="J81" i="12"/>
  <c r="J75" i="12"/>
  <c r="J63" i="12"/>
  <c r="J51" i="12"/>
  <c r="J43" i="12"/>
  <c r="J35" i="12"/>
  <c r="J27" i="12"/>
  <c r="J158" i="12"/>
  <c r="J153" i="12"/>
  <c r="J149" i="12"/>
  <c r="J145" i="12"/>
  <c r="J137" i="12"/>
  <c r="J129" i="12"/>
  <c r="J115" i="12"/>
  <c r="J107" i="12"/>
  <c r="J101" i="12"/>
  <c r="J95" i="12"/>
  <c r="J89" i="12"/>
  <c r="J83" i="12"/>
  <c r="J73" i="12"/>
  <c r="J69" i="12"/>
  <c r="J61" i="12"/>
  <c r="J49" i="12"/>
  <c r="J41" i="12"/>
  <c r="J33" i="12"/>
  <c r="J164" i="12"/>
  <c r="J155" i="12"/>
  <c r="J148" i="12"/>
  <c r="J136" i="12"/>
  <c r="J132" i="12"/>
  <c r="J128" i="12"/>
  <c r="J124" i="12"/>
  <c r="J112" i="12"/>
  <c r="J104" i="12"/>
  <c r="J100" i="12"/>
  <c r="J92" i="12"/>
  <c r="J88" i="12"/>
  <c r="J80" i="12"/>
  <c r="J72" i="12"/>
  <c r="J68" i="12"/>
  <c r="J60" i="12"/>
  <c r="J56" i="12"/>
  <c r="J48" i="12"/>
  <c r="J40" i="12"/>
  <c r="J32" i="12"/>
  <c r="J26" i="12"/>
  <c r="J38" i="12"/>
  <c r="J39" i="12"/>
  <c r="J62" i="12"/>
  <c r="L81" i="12"/>
  <c r="L93" i="12"/>
  <c r="N113" i="12"/>
  <c r="J119" i="12"/>
  <c r="X120" i="12"/>
  <c r="Z120" i="12" s="1"/>
  <c r="L125" i="12"/>
  <c r="F20" i="13"/>
  <c r="F16" i="13"/>
  <c r="F34" i="13"/>
  <c r="F31" i="13"/>
  <c r="F27" i="13"/>
  <c r="F24" i="13"/>
  <c r="F21" i="13"/>
  <c r="F36" i="13"/>
  <c r="F33" i="13"/>
  <c r="F29" i="13"/>
  <c r="F25" i="13"/>
  <c r="D18" i="13"/>
  <c r="F15" i="13"/>
  <c r="L12" i="13"/>
  <c r="F22" i="13"/>
  <c r="L16" i="13"/>
  <c r="F18" i="13"/>
  <c r="L29" i="13"/>
  <c r="N13" i="14"/>
  <c r="L13" i="14"/>
  <c r="X52" i="15"/>
  <c r="Z52" i="15" s="1"/>
  <c r="N81" i="15"/>
  <c r="L81" i="15"/>
  <c r="L117" i="15"/>
  <c r="N137" i="15"/>
  <c r="L137" i="15"/>
  <c r="L145" i="15"/>
  <c r="N145" i="15" s="1"/>
  <c r="D144" i="15"/>
  <c r="L144" i="15" s="1"/>
  <c r="N144" i="15" s="1"/>
  <c r="V28" i="18"/>
  <c r="Z83" i="12"/>
  <c r="X83" i="12"/>
  <c r="N125" i="12"/>
  <c r="N117" i="15"/>
  <c r="V34" i="17"/>
  <c r="V31" i="17"/>
  <c r="V21" i="17"/>
  <c r="V20" i="17"/>
  <c r="V16" i="17"/>
  <c r="V33" i="17"/>
  <c r="V22" i="17"/>
  <c r="V27" i="17"/>
  <c r="V25" i="17"/>
  <c r="V29" i="17"/>
  <c r="V18" i="17"/>
  <c r="V36" i="17"/>
  <c r="T18" i="17"/>
  <c r="Z12" i="17"/>
  <c r="V24" i="17"/>
  <c r="V15" i="17"/>
  <c r="X12" i="17"/>
  <c r="J29" i="3"/>
  <c r="J37" i="3"/>
  <c r="J45" i="3"/>
  <c r="J53" i="3"/>
  <c r="H62" i="3"/>
  <c r="J73" i="3"/>
  <c r="J77" i="3"/>
  <c r="J85" i="3"/>
  <c r="J91" i="3"/>
  <c r="J97" i="3"/>
  <c r="J103" i="3"/>
  <c r="J109" i="3"/>
  <c r="J113" i="3"/>
  <c r="J121" i="3"/>
  <c r="J133" i="3"/>
  <c r="J137" i="3"/>
  <c r="J141" i="3"/>
  <c r="J145" i="3"/>
  <c r="J153" i="3"/>
  <c r="J159" i="3"/>
  <c r="J163" i="3"/>
  <c r="J172" i="3"/>
  <c r="J15" i="4"/>
  <c r="H18" i="4"/>
  <c r="F21" i="4"/>
  <c r="V21" i="4"/>
  <c r="J25" i="4"/>
  <c r="R27" i="4"/>
  <c r="J29" i="4"/>
  <c r="R31" i="4"/>
  <c r="J33" i="4"/>
  <c r="R34" i="4"/>
  <c r="J36" i="4"/>
  <c r="L13" i="5"/>
  <c r="F18" i="5"/>
  <c r="J22" i="5"/>
  <c r="R24" i="5"/>
  <c r="P27" i="5"/>
  <c r="Z14" i="6"/>
  <c r="R16" i="6"/>
  <c r="R20" i="6"/>
  <c r="J22" i="6"/>
  <c r="R26" i="6"/>
  <c r="J28" i="6"/>
  <c r="R29" i="6"/>
  <c r="J31" i="6"/>
  <c r="R16" i="7"/>
  <c r="R20" i="7"/>
  <c r="V24" i="7"/>
  <c r="J15" i="8"/>
  <c r="H18" i="8"/>
  <c r="V21" i="8"/>
  <c r="J25" i="8"/>
  <c r="R27" i="8"/>
  <c r="J29" i="8"/>
  <c r="R31" i="8"/>
  <c r="J33" i="8"/>
  <c r="R34" i="8"/>
  <c r="J36" i="8"/>
  <c r="T16" i="9"/>
  <c r="J19" i="9"/>
  <c r="V21" i="9"/>
  <c r="R22" i="9"/>
  <c r="J25" i="9"/>
  <c r="F26" i="9"/>
  <c r="V29" i="9"/>
  <c r="R30" i="9"/>
  <c r="J31" i="9"/>
  <c r="V33" i="9"/>
  <c r="R34" i="9"/>
  <c r="J37" i="9"/>
  <c r="F38" i="9"/>
  <c r="V41" i="9"/>
  <c r="J45" i="9"/>
  <c r="V49" i="9"/>
  <c r="R50" i="9"/>
  <c r="J51" i="9"/>
  <c r="F54" i="9"/>
  <c r="R55" i="9"/>
  <c r="F57" i="9"/>
  <c r="V57" i="9"/>
  <c r="R58" i="9"/>
  <c r="J59" i="9"/>
  <c r="F62" i="9"/>
  <c r="R63" i="9"/>
  <c r="J65" i="9"/>
  <c r="F66" i="9"/>
  <c r="J69" i="9"/>
  <c r="F70" i="9"/>
  <c r="F74" i="9"/>
  <c r="J77" i="9"/>
  <c r="F78" i="9"/>
  <c r="R79" i="9"/>
  <c r="J81" i="9"/>
  <c r="F82" i="9"/>
  <c r="V85" i="9"/>
  <c r="F90" i="9"/>
  <c r="R91" i="9"/>
  <c r="J93" i="9"/>
  <c r="F95" i="9"/>
  <c r="V95" i="9"/>
  <c r="J99" i="9"/>
  <c r="F101" i="9"/>
  <c r="V101" i="9"/>
  <c r="Z12" i="10"/>
  <c r="F16" i="10"/>
  <c r="V16" i="10"/>
  <c r="V20" i="10"/>
  <c r="J31" i="10"/>
  <c r="J33" i="10"/>
  <c r="L20" i="11"/>
  <c r="L25" i="12"/>
  <c r="N25" i="12" s="1"/>
  <c r="J42" i="12"/>
  <c r="J54" i="12"/>
  <c r="V83" i="12"/>
  <c r="J98" i="12"/>
  <c r="L33" i="13"/>
  <c r="L34" i="14"/>
  <c r="R24" i="16"/>
  <c r="R21" i="16"/>
  <c r="R18" i="16"/>
  <c r="R33" i="16"/>
  <c r="R29" i="16"/>
  <c r="R25" i="16"/>
  <c r="P18" i="16"/>
  <c r="R15" i="16"/>
  <c r="R36" i="16"/>
  <c r="R22" i="16"/>
  <c r="X12" i="16"/>
  <c r="R20" i="16"/>
  <c r="R16" i="16"/>
  <c r="V157" i="18"/>
  <c r="V145" i="18"/>
  <c r="V141" i="18"/>
  <c r="V133" i="18"/>
  <c r="V129" i="18"/>
  <c r="V125" i="18"/>
  <c r="V121" i="18"/>
  <c r="V117" i="18"/>
  <c r="V109" i="18"/>
  <c r="V101" i="18"/>
  <c r="V97" i="18"/>
  <c r="V89" i="18"/>
  <c r="V85" i="18"/>
  <c r="V73" i="18"/>
  <c r="V69" i="18"/>
  <c r="V61" i="18"/>
  <c r="T56" i="18"/>
  <c r="V49" i="18"/>
  <c r="V41" i="18"/>
  <c r="V33" i="18"/>
  <c r="V25" i="18"/>
  <c r="V154" i="18"/>
  <c r="V148" i="18"/>
  <c r="V144" i="18"/>
  <c r="V132" i="18"/>
  <c r="V128" i="18"/>
  <c r="V124" i="18"/>
  <c r="V120" i="18"/>
  <c r="V116" i="18"/>
  <c r="V112" i="18"/>
  <c r="V104" i="18"/>
  <c r="V100" i="18"/>
  <c r="V92" i="18"/>
  <c r="V88" i="18"/>
  <c r="V80" i="18"/>
  <c r="V72" i="18"/>
  <c r="V68" i="18"/>
  <c r="V60" i="18"/>
  <c r="V48" i="18"/>
  <c r="V40" i="18"/>
  <c r="V32" i="18"/>
  <c r="V151" i="18"/>
  <c r="V147" i="18"/>
  <c r="V143" i="18"/>
  <c r="V131" i="18"/>
  <c r="V127" i="18"/>
  <c r="V123" i="18"/>
  <c r="V119" i="18"/>
  <c r="V115" i="18"/>
  <c r="V111" i="18"/>
  <c r="V103" i="18"/>
  <c r="V99" i="18"/>
  <c r="V91" i="18"/>
  <c r="V87" i="18"/>
  <c r="V79" i="18"/>
  <c r="V71" i="18"/>
  <c r="V67" i="18"/>
  <c r="V59" i="18"/>
  <c r="V47" i="18"/>
  <c r="V39" i="18"/>
  <c r="V31" i="18"/>
  <c r="V23" i="18"/>
  <c r="V156" i="18"/>
  <c r="V130" i="18"/>
  <c r="V118" i="18"/>
  <c r="V114" i="18"/>
  <c r="V106" i="18"/>
  <c r="V102" i="18"/>
  <c r="V94" i="18"/>
  <c r="V90" i="18"/>
  <c r="V82" i="18"/>
  <c r="V78" i="18"/>
  <c r="V70" i="18"/>
  <c r="V66" i="18"/>
  <c r="V54" i="18"/>
  <c r="V46" i="18"/>
  <c r="V38" i="18"/>
  <c r="V30" i="18"/>
  <c r="V22" i="18"/>
  <c r="V150" i="18"/>
  <c r="V140" i="18"/>
  <c r="V136" i="18"/>
  <c r="V108" i="18"/>
  <c r="V96" i="18"/>
  <c r="V84" i="18"/>
  <c r="V76" i="18"/>
  <c r="V155" i="18"/>
  <c r="V139" i="18"/>
  <c r="V135" i="18"/>
  <c r="V107" i="18"/>
  <c r="V95" i="18"/>
  <c r="V83" i="18"/>
  <c r="V75" i="18"/>
  <c r="V63" i="18"/>
  <c r="V51" i="18"/>
  <c r="V43" i="18"/>
  <c r="V35" i="18"/>
  <c r="V27" i="18"/>
  <c r="V152" i="18"/>
  <c r="V146" i="18"/>
  <c r="V142" i="18"/>
  <c r="V138" i="18"/>
  <c r="V134" i="18"/>
  <c r="V126" i="18"/>
  <c r="V122" i="18"/>
  <c r="V110" i="18"/>
  <c r="V98" i="18"/>
  <c r="V86" i="18"/>
  <c r="V74" i="18"/>
  <c r="V62" i="18"/>
  <c r="V58" i="18"/>
  <c r="V56" i="18"/>
  <c r="V50" i="18"/>
  <c r="V42" i="18"/>
  <c r="V34" i="18"/>
  <c r="V26" i="18"/>
  <c r="V153" i="18"/>
  <c r="V24" i="18"/>
  <c r="V21" i="18"/>
  <c r="V161" i="18"/>
  <c r="V81" i="18"/>
  <c r="V77" i="18"/>
  <c r="V64" i="18"/>
  <c r="V113" i="18"/>
  <c r="V105" i="18"/>
  <c r="V137" i="18"/>
  <c r="V93" i="18"/>
  <c r="V65" i="18"/>
  <c r="V52" i="18"/>
  <c r="V44" i="18"/>
  <c r="V36" i="18"/>
  <c r="V45" i="18"/>
  <c r="R34" i="7"/>
  <c r="J30" i="3"/>
  <c r="J38" i="3"/>
  <c r="J46" i="3"/>
  <c r="J54" i="3"/>
  <c r="J62" i="3"/>
  <c r="J66" i="3"/>
  <c r="J74" i="3"/>
  <c r="J78" i="3"/>
  <c r="J86" i="3"/>
  <c r="J94" i="3"/>
  <c r="J98" i="3"/>
  <c r="J106" i="3"/>
  <c r="J110" i="3"/>
  <c r="J116" i="3"/>
  <c r="J124" i="3"/>
  <c r="J138" i="3"/>
  <c r="J142" i="3"/>
  <c r="J146" i="3"/>
  <c r="J167" i="3"/>
  <c r="J182" i="3"/>
  <c r="J18" i="4"/>
  <c r="V24" i="4"/>
  <c r="F21" i="5"/>
  <c r="J25" i="5"/>
  <c r="R27" i="5"/>
  <c r="J29" i="5"/>
  <c r="R31" i="5"/>
  <c r="J33" i="5"/>
  <c r="R34" i="5"/>
  <c r="J36" i="5"/>
  <c r="D16" i="6"/>
  <c r="F24" i="6"/>
  <c r="X12" i="7"/>
  <c r="V27" i="7"/>
  <c r="V31" i="7"/>
  <c r="V34" i="7"/>
  <c r="J18" i="8"/>
  <c r="V24" i="8"/>
  <c r="V16" i="9"/>
  <c r="J18" i="9"/>
  <c r="V18" i="9"/>
  <c r="L19" i="9"/>
  <c r="N19" i="9" s="1"/>
  <c r="V22" i="9"/>
  <c r="R23" i="9"/>
  <c r="J26" i="9"/>
  <c r="V30" i="9"/>
  <c r="L31" i="9"/>
  <c r="N31" i="9" s="1"/>
  <c r="V34" i="9"/>
  <c r="R35" i="9"/>
  <c r="J38" i="9"/>
  <c r="R44" i="9"/>
  <c r="F46" i="9"/>
  <c r="V46" i="9"/>
  <c r="R47" i="9"/>
  <c r="J48" i="9"/>
  <c r="V50" i="9"/>
  <c r="L51" i="9"/>
  <c r="N51" i="9" s="1"/>
  <c r="J54" i="9"/>
  <c r="X57" i="9"/>
  <c r="Z57" i="9" s="1"/>
  <c r="V58" i="9"/>
  <c r="L59" i="9"/>
  <c r="J62" i="9"/>
  <c r="J66" i="9"/>
  <c r="F67" i="9"/>
  <c r="R68" i="9"/>
  <c r="J70" i="9"/>
  <c r="F71" i="9"/>
  <c r="J74" i="9"/>
  <c r="F75" i="9"/>
  <c r="R76" i="9"/>
  <c r="J78" i="9"/>
  <c r="J82" i="9"/>
  <c r="F83" i="9"/>
  <c r="F87" i="9"/>
  <c r="J90" i="9"/>
  <c r="X95" i="9"/>
  <c r="F34" i="10"/>
  <c r="F31" i="10"/>
  <c r="F27" i="10"/>
  <c r="F24" i="10"/>
  <c r="X16" i="10"/>
  <c r="P18" i="10"/>
  <c r="X20" i="10"/>
  <c r="F22" i="10"/>
  <c r="F25" i="10"/>
  <c r="J27" i="10"/>
  <c r="J29" i="10"/>
  <c r="J34" i="10"/>
  <c r="F36" i="10"/>
  <c r="J79" i="12"/>
  <c r="J86" i="12"/>
  <c r="J91" i="12"/>
  <c r="N97" i="12"/>
  <c r="L97" i="12"/>
  <c r="N107" i="12"/>
  <c r="J127" i="12"/>
  <c r="Z15" i="17"/>
  <c r="X15" i="17"/>
  <c r="X95" i="12"/>
  <c r="Z95" i="12" s="1"/>
  <c r="X15" i="14"/>
  <c r="P18" i="14"/>
  <c r="Z135" i="15"/>
  <c r="X135" i="15"/>
  <c r="J25" i="3"/>
  <c r="J31" i="3"/>
  <c r="J39" i="3"/>
  <c r="J47" i="3"/>
  <c r="J55" i="3"/>
  <c r="J67" i="3"/>
  <c r="J75" i="3"/>
  <c r="J79" i="3"/>
  <c r="J89" i="3"/>
  <c r="J95" i="3"/>
  <c r="J101" i="3"/>
  <c r="J107" i="3"/>
  <c r="J111" i="3"/>
  <c r="J119" i="3"/>
  <c r="J129" i="3"/>
  <c r="J139" i="3"/>
  <c r="J147" i="3"/>
  <c r="J157" i="3"/>
  <c r="D166" i="3"/>
  <c r="L166" i="3" s="1"/>
  <c r="N166" i="3" s="1"/>
  <c r="J170" i="3"/>
  <c r="X12" i="4"/>
  <c r="J21" i="4"/>
  <c r="F27" i="4"/>
  <c r="V27" i="4"/>
  <c r="F31" i="4"/>
  <c r="V31" i="4"/>
  <c r="F34" i="4"/>
  <c r="V34" i="4"/>
  <c r="R16" i="5"/>
  <c r="J18" i="5"/>
  <c r="R20" i="5"/>
  <c r="F24" i="5"/>
  <c r="V24" i="5"/>
  <c r="D27" i="5"/>
  <c r="L33" i="5"/>
  <c r="F16" i="6"/>
  <c r="V16" i="6"/>
  <c r="F20" i="6"/>
  <c r="V20" i="6"/>
  <c r="J24" i="6"/>
  <c r="F26" i="6"/>
  <c r="V26" i="6"/>
  <c r="Z12" i="7"/>
  <c r="V16" i="7"/>
  <c r="N18" i="7"/>
  <c r="L21" i="7"/>
  <c r="R22" i="7"/>
  <c r="J24" i="7"/>
  <c r="X34" i="7"/>
  <c r="X12" i="8"/>
  <c r="J21" i="8"/>
  <c r="F27" i="8"/>
  <c r="V27" i="8"/>
  <c r="F31" i="8"/>
  <c r="V31" i="8"/>
  <c r="F34" i="8"/>
  <c r="V34" i="8"/>
  <c r="X12" i="9"/>
  <c r="H16" i="9"/>
  <c r="V23" i="9"/>
  <c r="R24" i="9"/>
  <c r="J27" i="9"/>
  <c r="V35" i="9"/>
  <c r="R36" i="9"/>
  <c r="J39" i="9"/>
  <c r="F40" i="9"/>
  <c r="J43" i="9"/>
  <c r="V47" i="9"/>
  <c r="F52" i="9"/>
  <c r="R53" i="9"/>
  <c r="F55" i="9"/>
  <c r="V55" i="9"/>
  <c r="R56" i="9"/>
  <c r="J57" i="9"/>
  <c r="F60" i="9"/>
  <c r="R61" i="9"/>
  <c r="F63" i="9"/>
  <c r="V63" i="9"/>
  <c r="R64" i="9"/>
  <c r="J67" i="9"/>
  <c r="J71" i="9"/>
  <c r="F72" i="9"/>
  <c r="R73" i="9"/>
  <c r="J75" i="9"/>
  <c r="F79" i="9"/>
  <c r="V79" i="9"/>
  <c r="R80" i="9"/>
  <c r="J83" i="9"/>
  <c r="F84" i="9"/>
  <c r="J87" i="9"/>
  <c r="F88" i="9"/>
  <c r="R89" i="9"/>
  <c r="F91" i="9"/>
  <c r="V91" i="9"/>
  <c r="R92" i="9"/>
  <c r="J95" i="9"/>
  <c r="R97" i="9"/>
  <c r="J101" i="9"/>
  <c r="R104" i="9"/>
  <c r="J16" i="10"/>
  <c r="R18" i="10"/>
  <c r="J20" i="10"/>
  <c r="J36" i="10"/>
  <c r="X14" i="12"/>
  <c r="P12" i="12"/>
  <c r="Z59" i="12"/>
  <c r="Z81" i="12"/>
  <c r="N85" i="12"/>
  <c r="L85" i="12"/>
  <c r="Z93" i="12"/>
  <c r="J97" i="12"/>
  <c r="Z99" i="12"/>
  <c r="J106" i="12"/>
  <c r="J142" i="12"/>
  <c r="L15" i="15"/>
  <c r="D12" i="15"/>
  <c r="L52" i="15"/>
  <c r="N52" i="15" s="1"/>
  <c r="N53" i="15"/>
  <c r="N141" i="15"/>
  <c r="L141" i="15"/>
  <c r="R34" i="16"/>
  <c r="V53" i="18"/>
  <c r="N81" i="12"/>
  <c r="N93" i="12"/>
  <c r="X79" i="15"/>
  <c r="Z79" i="15" s="1"/>
  <c r="J32" i="3"/>
  <c r="J40" i="3"/>
  <c r="J48" i="3"/>
  <c r="J56" i="3"/>
  <c r="J68" i="3"/>
  <c r="J80" i="3"/>
  <c r="J92" i="3"/>
  <c r="J104" i="3"/>
  <c r="J114" i="3"/>
  <c r="J122" i="3"/>
  <c r="J134" i="3"/>
  <c r="J148" i="3"/>
  <c r="J154" i="3"/>
  <c r="J160" i="3"/>
  <c r="J164" i="3"/>
  <c r="J173" i="3"/>
  <c r="Z12" i="4"/>
  <c r="F16" i="4"/>
  <c r="V16" i="4"/>
  <c r="F27" i="5"/>
  <c r="V27" i="5"/>
  <c r="F31" i="5"/>
  <c r="V31" i="5"/>
  <c r="X16" i="6"/>
  <c r="R15" i="7"/>
  <c r="P18" i="7"/>
  <c r="R25" i="7"/>
  <c r="J27" i="7"/>
  <c r="R29" i="7"/>
  <c r="J31" i="7"/>
  <c r="R33" i="7"/>
  <c r="Z12" i="8"/>
  <c r="F16" i="8"/>
  <c r="V16" i="8"/>
  <c r="Z12" i="9"/>
  <c r="R14" i="9"/>
  <c r="J16" i="9"/>
  <c r="J20" i="9"/>
  <c r="F21" i="9"/>
  <c r="V24" i="9"/>
  <c r="R25" i="9"/>
  <c r="J28" i="9"/>
  <c r="F29" i="9"/>
  <c r="J32" i="9"/>
  <c r="F33" i="9"/>
  <c r="V36" i="9"/>
  <c r="R37" i="9"/>
  <c r="J40" i="9"/>
  <c r="F41" i="9"/>
  <c r="R42" i="9"/>
  <c r="F44" i="9"/>
  <c r="V44" i="9"/>
  <c r="R45" i="9"/>
  <c r="J46" i="9"/>
  <c r="F49" i="9"/>
  <c r="J52" i="9"/>
  <c r="V56" i="9"/>
  <c r="J60" i="9"/>
  <c r="V64" i="9"/>
  <c r="R65" i="9"/>
  <c r="F68" i="9"/>
  <c r="V68" i="9"/>
  <c r="R69" i="9"/>
  <c r="J72" i="9"/>
  <c r="F76" i="9"/>
  <c r="V76" i="9"/>
  <c r="R77" i="9"/>
  <c r="V80" i="9"/>
  <c r="R81" i="9"/>
  <c r="J84" i="9"/>
  <c r="R86" i="9"/>
  <c r="R93" i="9"/>
  <c r="L12" i="10"/>
  <c r="F15" i="10"/>
  <c r="V15" i="10"/>
  <c r="D18" i="10"/>
  <c r="T18" i="10"/>
  <c r="R21" i="10"/>
  <c r="J22" i="10"/>
  <c r="J25" i="10"/>
  <c r="X29" i="10"/>
  <c r="R31" i="10"/>
  <c r="R33" i="10"/>
  <c r="R36" i="10"/>
  <c r="F34" i="11"/>
  <c r="F31" i="11"/>
  <c r="F27" i="11"/>
  <c r="F24" i="11"/>
  <c r="F21" i="11"/>
  <c r="F36" i="11"/>
  <c r="F33" i="11"/>
  <c r="F29" i="11"/>
  <c r="F25" i="11"/>
  <c r="D18" i="11"/>
  <c r="F15" i="11"/>
  <c r="L12" i="11"/>
  <c r="F18" i="11"/>
  <c r="J20" i="11"/>
  <c r="F22" i="11"/>
  <c r="J34" i="12"/>
  <c r="J46" i="12"/>
  <c r="J47" i="12"/>
  <c r="J78" i="12"/>
  <c r="J85" i="12"/>
  <c r="Z87" i="12"/>
  <c r="L105" i="12"/>
  <c r="N105" i="12" s="1"/>
  <c r="J123" i="12"/>
  <c r="N133" i="12"/>
  <c r="J151" i="12"/>
  <c r="L158" i="12"/>
  <c r="N64" i="15"/>
  <c r="L105" i="15"/>
  <c r="N105" i="15" s="1"/>
  <c r="L121" i="15"/>
  <c r="N121" i="15" s="1"/>
  <c r="H151" i="15"/>
  <c r="X13" i="17"/>
  <c r="X86" i="28"/>
  <c r="Z86" i="28" s="1"/>
  <c r="N88" i="28"/>
  <c r="L88" i="28"/>
  <c r="V96" i="12"/>
  <c r="V108" i="12"/>
  <c r="X115" i="12"/>
  <c r="Z115" i="12" s="1"/>
  <c r="V116" i="12"/>
  <c r="V120" i="12"/>
  <c r="V140" i="12"/>
  <c r="L141" i="12"/>
  <c r="N141" i="12" s="1"/>
  <c r="V156" i="12"/>
  <c r="J16" i="13"/>
  <c r="R18" i="13"/>
  <c r="J20" i="13"/>
  <c r="L34" i="13"/>
  <c r="X16" i="14"/>
  <c r="X20" i="14"/>
  <c r="L24" i="14"/>
  <c r="R25" i="14"/>
  <c r="R29" i="14"/>
  <c r="R33" i="14"/>
  <c r="R36" i="14"/>
  <c r="V43" i="15"/>
  <c r="J47" i="15"/>
  <c r="T50" i="15"/>
  <c r="J53" i="15"/>
  <c r="V55" i="15"/>
  <c r="J59" i="15"/>
  <c r="V63" i="15"/>
  <c r="V67" i="15"/>
  <c r="J71" i="15"/>
  <c r="V79" i="15"/>
  <c r="J81" i="15"/>
  <c r="V83" i="15"/>
  <c r="V91" i="15"/>
  <c r="J93" i="15"/>
  <c r="V95" i="15"/>
  <c r="V103" i="15"/>
  <c r="J105" i="15"/>
  <c r="V111" i="15"/>
  <c r="V115" i="15"/>
  <c r="J117" i="15"/>
  <c r="V119" i="15"/>
  <c r="J121" i="15"/>
  <c r="V123" i="15"/>
  <c r="V127" i="15"/>
  <c r="J131" i="15"/>
  <c r="V135" i="15"/>
  <c r="J137" i="15"/>
  <c r="V139" i="15"/>
  <c r="J141" i="15"/>
  <c r="J18" i="16"/>
  <c r="F24" i="16"/>
  <c r="V24" i="16"/>
  <c r="X16" i="17"/>
  <c r="N81" i="18"/>
  <c r="Z87" i="18"/>
  <c r="Z93" i="18"/>
  <c r="L27" i="21"/>
  <c r="F48" i="21"/>
  <c r="Z61" i="21"/>
  <c r="Z69" i="21"/>
  <c r="Z75" i="21"/>
  <c r="P12" i="25"/>
  <c r="X16" i="25"/>
  <c r="Z33" i="25"/>
  <c r="V15" i="11"/>
  <c r="T18" i="11"/>
  <c r="R21" i="11"/>
  <c r="V25" i="11"/>
  <c r="V29" i="11"/>
  <c r="V33" i="11"/>
  <c r="V36" i="11"/>
  <c r="V29" i="12"/>
  <c r="V37" i="12"/>
  <c r="V45" i="12"/>
  <c r="V53" i="12"/>
  <c r="V65" i="12"/>
  <c r="V77" i="12"/>
  <c r="V81" i="12"/>
  <c r="V93" i="12"/>
  <c r="V105" i="12"/>
  <c r="V113" i="12"/>
  <c r="V117" i="12"/>
  <c r="V121" i="12"/>
  <c r="V125" i="12"/>
  <c r="V133" i="12"/>
  <c r="V15" i="13"/>
  <c r="T18" i="13"/>
  <c r="X18" i="13" s="1"/>
  <c r="R21" i="13"/>
  <c r="V25" i="13"/>
  <c r="V29" i="13"/>
  <c r="V33" i="13"/>
  <c r="V36" i="13"/>
  <c r="J16" i="14"/>
  <c r="R18" i="14"/>
  <c r="J20" i="14"/>
  <c r="F22" i="14"/>
  <c r="V22" i="14"/>
  <c r="J24" i="15"/>
  <c r="V28" i="15"/>
  <c r="J32" i="15"/>
  <c r="V36" i="15"/>
  <c r="J40" i="15"/>
  <c r="V44" i="15"/>
  <c r="J48" i="15"/>
  <c r="J52" i="15"/>
  <c r="V52" i="15"/>
  <c r="V56" i="15"/>
  <c r="J60" i="15"/>
  <c r="V68" i="15"/>
  <c r="J72" i="15"/>
  <c r="J76" i="15"/>
  <c r="V80" i="15"/>
  <c r="J88" i="15"/>
  <c r="V92" i="15"/>
  <c r="J100" i="15"/>
  <c r="V104" i="15"/>
  <c r="J108" i="15"/>
  <c r="V116" i="15"/>
  <c r="V120" i="15"/>
  <c r="V128" i="15"/>
  <c r="V132" i="15"/>
  <c r="V136" i="15"/>
  <c r="V140" i="15"/>
  <c r="J145" i="15"/>
  <c r="V146" i="15"/>
  <c r="J21" i="16"/>
  <c r="F27" i="16"/>
  <c r="V27" i="16"/>
  <c r="F31" i="16"/>
  <c r="V31" i="16"/>
  <c r="F34" i="16"/>
  <c r="V34" i="16"/>
  <c r="X20" i="17"/>
  <c r="L24" i="17"/>
  <c r="D12" i="18"/>
  <c r="Z105" i="18"/>
  <c r="Z113" i="18"/>
  <c r="X118" i="18"/>
  <c r="L33" i="19"/>
  <c r="L12" i="21"/>
  <c r="P12" i="21"/>
  <c r="X15" i="21"/>
  <c r="L25" i="22"/>
  <c r="J18" i="24"/>
  <c r="J36" i="24"/>
  <c r="J33" i="24"/>
  <c r="J29" i="24"/>
  <c r="J25" i="24"/>
  <c r="H18" i="24"/>
  <c r="J15" i="24"/>
  <c r="J22" i="24"/>
  <c r="N12" i="24"/>
  <c r="J34" i="24"/>
  <c r="J31" i="24"/>
  <c r="J27" i="24"/>
  <c r="J24" i="24"/>
  <c r="J21" i="24"/>
  <c r="J20" i="25"/>
  <c r="Z16" i="32"/>
  <c r="X16" i="32"/>
  <c r="Z118" i="18"/>
  <c r="P150" i="18"/>
  <c r="X150" i="18" s="1"/>
  <c r="X151" i="18"/>
  <c r="N27" i="21"/>
  <c r="V21" i="11"/>
  <c r="R27" i="11"/>
  <c r="R31" i="11"/>
  <c r="R34" i="11"/>
  <c r="V31" i="12"/>
  <c r="V39" i="12"/>
  <c r="V47" i="12"/>
  <c r="V59" i="12"/>
  <c r="V67" i="12"/>
  <c r="V71" i="12"/>
  <c r="V79" i="12"/>
  <c r="V87" i="12"/>
  <c r="V91" i="12"/>
  <c r="V99" i="12"/>
  <c r="V103" i="12"/>
  <c r="V111" i="12"/>
  <c r="V119" i="12"/>
  <c r="V123" i="12"/>
  <c r="V127" i="12"/>
  <c r="V131" i="12"/>
  <c r="V135" i="12"/>
  <c r="V147" i="12"/>
  <c r="V151" i="12"/>
  <c r="V157" i="12"/>
  <c r="H18" i="13"/>
  <c r="J25" i="13"/>
  <c r="R27" i="13"/>
  <c r="J29" i="13"/>
  <c r="R31" i="13"/>
  <c r="J33" i="13"/>
  <c r="R34" i="13"/>
  <c r="J36" i="13"/>
  <c r="J50" i="15"/>
  <c r="V58" i="15"/>
  <c r="J62" i="15"/>
  <c r="J66" i="15"/>
  <c r="V70" i="15"/>
  <c r="J74" i="15"/>
  <c r="V78" i="15"/>
  <c r="J82" i="15"/>
  <c r="J86" i="15"/>
  <c r="V90" i="15"/>
  <c r="J94" i="15"/>
  <c r="J98" i="15"/>
  <c r="V102" i="15"/>
  <c r="J106" i="15"/>
  <c r="J110" i="15"/>
  <c r="J114" i="15"/>
  <c r="J118" i="15"/>
  <c r="J122" i="15"/>
  <c r="J126" i="15"/>
  <c r="V130" i="15"/>
  <c r="J132" i="15"/>
  <c r="V134" i="15"/>
  <c r="J138" i="15"/>
  <c r="J142" i="15"/>
  <c r="V144" i="15"/>
  <c r="J36" i="17"/>
  <c r="J33" i="17"/>
  <c r="J29" i="17"/>
  <c r="J25" i="17"/>
  <c r="H18" i="17"/>
  <c r="J15" i="17"/>
  <c r="J34" i="17"/>
  <c r="J31" i="17"/>
  <c r="J27" i="17"/>
  <c r="J24" i="17"/>
  <c r="Z70" i="18"/>
  <c r="Z102" i="18"/>
  <c r="N107" i="18"/>
  <c r="J27" i="21"/>
  <c r="J91" i="25"/>
  <c r="J78" i="25"/>
  <c r="J68" i="25"/>
  <c r="J62" i="25"/>
  <c r="J52" i="25"/>
  <c r="J88" i="25"/>
  <c r="J81" i="25"/>
  <c r="J59" i="25"/>
  <c r="J51" i="25"/>
  <c r="J84" i="25"/>
  <c r="J74" i="25"/>
  <c r="J95" i="25"/>
  <c r="J90" i="25"/>
  <c r="J77" i="25"/>
  <c r="J73" i="25"/>
  <c r="J67" i="25"/>
  <c r="J61" i="25"/>
  <c r="J80" i="25"/>
  <c r="J76" i="25"/>
  <c r="J72" i="25"/>
  <c r="J58" i="25"/>
  <c r="J48" i="25"/>
  <c r="J87" i="25"/>
  <c r="J83" i="25"/>
  <c r="J79" i="25"/>
  <c r="J69" i="25"/>
  <c r="J63" i="25"/>
  <c r="J55" i="25"/>
  <c r="J89" i="25"/>
  <c r="J82" i="25"/>
  <c r="J66" i="25"/>
  <c r="J60" i="25"/>
  <c r="J54" i="25"/>
  <c r="J85" i="25"/>
  <c r="J44" i="25"/>
  <c r="J36" i="25"/>
  <c r="J24" i="25"/>
  <c r="J50" i="25"/>
  <c r="J49" i="25"/>
  <c r="J47" i="25"/>
  <c r="J43" i="25"/>
  <c r="J35" i="25"/>
  <c r="J23" i="25"/>
  <c r="J71" i="25"/>
  <c r="J70" i="25"/>
  <c r="J46" i="25"/>
  <c r="J42" i="25"/>
  <c r="H31" i="25"/>
  <c r="J22" i="25"/>
  <c r="J41" i="25"/>
  <c r="J33" i="25"/>
  <c r="J29" i="25"/>
  <c r="J21" i="25"/>
  <c r="J75" i="25"/>
  <c r="J45" i="25"/>
  <c r="J39" i="25"/>
  <c r="J27" i="25"/>
  <c r="J38" i="25"/>
  <c r="J26" i="25"/>
  <c r="J65" i="25"/>
  <c r="J57" i="25"/>
  <c r="J53" i="25"/>
  <c r="J37" i="25"/>
  <c r="J25" i="25"/>
  <c r="J19" i="25"/>
  <c r="N34" i="25"/>
  <c r="J56" i="25"/>
  <c r="T124" i="28"/>
  <c r="R16" i="11"/>
  <c r="R20" i="11"/>
  <c r="V24" i="11"/>
  <c r="V32" i="12"/>
  <c r="V40" i="12"/>
  <c r="V48" i="12"/>
  <c r="V60" i="12"/>
  <c r="V68" i="12"/>
  <c r="V72" i="12"/>
  <c r="V80" i="12"/>
  <c r="V88" i="12"/>
  <c r="V92" i="12"/>
  <c r="V100" i="12"/>
  <c r="V104" i="12"/>
  <c r="V112" i="12"/>
  <c r="V124" i="12"/>
  <c r="V128" i="12"/>
  <c r="V132" i="12"/>
  <c r="V136" i="12"/>
  <c r="V144" i="12"/>
  <c r="V148" i="12"/>
  <c r="R16" i="13"/>
  <c r="J18" i="13"/>
  <c r="R20" i="13"/>
  <c r="V24" i="13"/>
  <c r="H18" i="14"/>
  <c r="F21" i="14"/>
  <c r="V21" i="14"/>
  <c r="J25" i="14"/>
  <c r="R27" i="14"/>
  <c r="J29" i="14"/>
  <c r="R31" i="14"/>
  <c r="J33" i="14"/>
  <c r="R34" i="14"/>
  <c r="J36" i="14"/>
  <c r="P12" i="15"/>
  <c r="J21" i="15"/>
  <c r="V23" i="15"/>
  <c r="J27" i="15"/>
  <c r="V31" i="15"/>
  <c r="J35" i="15"/>
  <c r="V39" i="15"/>
  <c r="J43" i="15"/>
  <c r="V47" i="15"/>
  <c r="J55" i="15"/>
  <c r="V59" i="15"/>
  <c r="J63" i="15"/>
  <c r="J67" i="15"/>
  <c r="V71" i="15"/>
  <c r="V75" i="15"/>
  <c r="J77" i="15"/>
  <c r="J83" i="15"/>
  <c r="V87" i="15"/>
  <c r="J89" i="15"/>
  <c r="J95" i="15"/>
  <c r="V99" i="15"/>
  <c r="J101" i="15"/>
  <c r="V107" i="15"/>
  <c r="J111" i="15"/>
  <c r="J115" i="15"/>
  <c r="J119" i="15"/>
  <c r="J123" i="15"/>
  <c r="J127" i="15"/>
  <c r="V131" i="15"/>
  <c r="L132" i="15"/>
  <c r="N132" i="15" s="1"/>
  <c r="J139" i="15"/>
  <c r="J146" i="15"/>
  <c r="V147" i="15"/>
  <c r="J16" i="16"/>
  <c r="F22" i="16"/>
  <c r="V22" i="16"/>
  <c r="L12" i="17"/>
  <c r="L15" i="17"/>
  <c r="X21" i="17"/>
  <c r="X25" i="17"/>
  <c r="Z21" i="18"/>
  <c r="X21" i="18"/>
  <c r="N83" i="18"/>
  <c r="Z130" i="18"/>
  <c r="F93" i="21"/>
  <c r="F80" i="21"/>
  <c r="F76" i="21"/>
  <c r="F67" i="21"/>
  <c r="F64" i="21"/>
  <c r="F59" i="21"/>
  <c r="F44" i="21"/>
  <c r="F39" i="21"/>
  <c r="F32" i="21"/>
  <c r="F97" i="21"/>
  <c r="F91" i="21"/>
  <c r="F55" i="21"/>
  <c r="F50" i="21"/>
  <c r="F43" i="21"/>
  <c r="F31" i="21"/>
  <c r="F85" i="21"/>
  <c r="F73" i="21"/>
  <c r="F69" i="21"/>
  <c r="F66" i="21"/>
  <c r="F61" i="21"/>
  <c r="F58" i="21"/>
  <c r="F42" i="21"/>
  <c r="F38" i="21"/>
  <c r="F30" i="21"/>
  <c r="F88" i="21"/>
  <c r="F57" i="21"/>
  <c r="F52" i="21"/>
  <c r="F49" i="21"/>
  <c r="F41" i="21"/>
  <c r="F37" i="21"/>
  <c r="F29" i="21"/>
  <c r="F20" i="21"/>
  <c r="F90" i="21"/>
  <c r="F87" i="21"/>
  <c r="F83" i="21"/>
  <c r="F71" i="21"/>
  <c r="F54" i="21"/>
  <c r="F51" i="21"/>
  <c r="F47" i="21"/>
  <c r="F35" i="21"/>
  <c r="D25" i="21"/>
  <c r="F23" i="21"/>
  <c r="F86" i="21"/>
  <c r="F82" i="21"/>
  <c r="F78" i="21"/>
  <c r="F74" i="21"/>
  <c r="F70" i="21"/>
  <c r="F65" i="21"/>
  <c r="F62" i="21"/>
  <c r="F46" i="21"/>
  <c r="F34" i="21"/>
  <c r="F22" i="21"/>
  <c r="F89" i="21"/>
  <c r="F81" i="21"/>
  <c r="F77" i="21"/>
  <c r="F56" i="21"/>
  <c r="F53" i="21"/>
  <c r="F45" i="21"/>
  <c r="F33" i="21"/>
  <c r="F28" i="21"/>
  <c r="F27" i="21"/>
  <c r="F21" i="21"/>
  <c r="X27" i="21"/>
  <c r="N65" i="21"/>
  <c r="F72" i="21"/>
  <c r="L29" i="22"/>
  <c r="T93" i="25"/>
  <c r="J34" i="25"/>
  <c r="Z21" i="26"/>
  <c r="X21" i="26"/>
  <c r="V27" i="11"/>
  <c r="V31" i="11"/>
  <c r="V25" i="12"/>
  <c r="V33" i="12"/>
  <c r="V41" i="12"/>
  <c r="V49" i="12"/>
  <c r="T56" i="12"/>
  <c r="V61" i="12"/>
  <c r="V69" i="12"/>
  <c r="V73" i="12"/>
  <c r="V85" i="12"/>
  <c r="V89" i="12"/>
  <c r="V97" i="12"/>
  <c r="V101" i="12"/>
  <c r="V109" i="12"/>
  <c r="V129" i="12"/>
  <c r="V137" i="12"/>
  <c r="V141" i="12"/>
  <c r="V145" i="12"/>
  <c r="V149" i="12"/>
  <c r="V155" i="12"/>
  <c r="V27" i="13"/>
  <c r="V31" i="13"/>
  <c r="R16" i="14"/>
  <c r="V24" i="15"/>
  <c r="J28" i="15"/>
  <c r="V32" i="15"/>
  <c r="J36" i="15"/>
  <c r="V40" i="15"/>
  <c r="J44" i="15"/>
  <c r="V48" i="15"/>
  <c r="J56" i="15"/>
  <c r="V60" i="15"/>
  <c r="V64" i="15"/>
  <c r="J68" i="15"/>
  <c r="V72" i="15"/>
  <c r="V76" i="15"/>
  <c r="J80" i="15"/>
  <c r="V84" i="15"/>
  <c r="V88" i="15"/>
  <c r="J92" i="15"/>
  <c r="V96" i="15"/>
  <c r="V100" i="15"/>
  <c r="J104" i="15"/>
  <c r="V108" i="15"/>
  <c r="V112" i="15"/>
  <c r="J116" i="15"/>
  <c r="J120" i="15"/>
  <c r="V124" i="15"/>
  <c r="J128" i="15"/>
  <c r="J136" i="15"/>
  <c r="J140" i="15"/>
  <c r="J144" i="15"/>
  <c r="J149" i="15"/>
  <c r="L12" i="16"/>
  <c r="F15" i="16"/>
  <c r="V15" i="16"/>
  <c r="D18" i="16"/>
  <c r="T18" i="16"/>
  <c r="F25" i="16"/>
  <c r="V25" i="16"/>
  <c r="F29" i="16"/>
  <c r="V29" i="16"/>
  <c r="F33" i="16"/>
  <c r="N12" i="17"/>
  <c r="J16" i="17"/>
  <c r="Z33" i="17"/>
  <c r="X33" i="17"/>
  <c r="J161" i="18"/>
  <c r="J156" i="18"/>
  <c r="J147" i="18"/>
  <c r="J143" i="18"/>
  <c r="J137" i="18"/>
  <c r="J127" i="18"/>
  <c r="J123" i="18"/>
  <c r="J111" i="18"/>
  <c r="J99" i="18"/>
  <c r="J87" i="18"/>
  <c r="J77" i="18"/>
  <c r="J65" i="18"/>
  <c r="J59" i="18"/>
  <c r="J53" i="18"/>
  <c r="J45" i="18"/>
  <c r="J37" i="18"/>
  <c r="J29" i="18"/>
  <c r="J153" i="18"/>
  <c r="J140" i="18"/>
  <c r="J136" i="18"/>
  <c r="J130" i="18"/>
  <c r="J118" i="18"/>
  <c r="J108" i="18"/>
  <c r="J102" i="18"/>
  <c r="J96" i="18"/>
  <c r="J90" i="18"/>
  <c r="J84" i="18"/>
  <c r="J76" i="18"/>
  <c r="J70" i="18"/>
  <c r="J64" i="18"/>
  <c r="J52" i="18"/>
  <c r="J44" i="18"/>
  <c r="J36" i="18"/>
  <c r="J139" i="18"/>
  <c r="J135" i="18"/>
  <c r="J113" i="18"/>
  <c r="J105" i="18"/>
  <c r="J93" i="18"/>
  <c r="J81" i="18"/>
  <c r="J75" i="18"/>
  <c r="J63" i="18"/>
  <c r="J51" i="18"/>
  <c r="J43" i="18"/>
  <c r="J35" i="18"/>
  <c r="J27" i="18"/>
  <c r="J21" i="18"/>
  <c r="J155" i="18"/>
  <c r="J150" i="18"/>
  <c r="J146" i="18"/>
  <c r="J142" i="18"/>
  <c r="J134" i="18"/>
  <c r="J126" i="18"/>
  <c r="J122" i="18"/>
  <c r="J110" i="18"/>
  <c r="J98" i="18"/>
  <c r="J86" i="18"/>
  <c r="J74" i="18"/>
  <c r="J62" i="18"/>
  <c r="J50" i="18"/>
  <c r="J42" i="18"/>
  <c r="J34" i="18"/>
  <c r="J26" i="18"/>
  <c r="J157" i="18"/>
  <c r="J148" i="18"/>
  <c r="J144" i="18"/>
  <c r="J138" i="18"/>
  <c r="J132" i="18"/>
  <c r="J128" i="18"/>
  <c r="J124" i="18"/>
  <c r="J120" i="18"/>
  <c r="J116" i="18"/>
  <c r="J112" i="18"/>
  <c r="J104" i="18"/>
  <c r="J100" i="18"/>
  <c r="J92" i="18"/>
  <c r="J88" i="18"/>
  <c r="J80" i="18"/>
  <c r="J72" i="18"/>
  <c r="J68" i="18"/>
  <c r="J154" i="18"/>
  <c r="J141" i="18"/>
  <c r="J131" i="18"/>
  <c r="J119" i="18"/>
  <c r="J115" i="18"/>
  <c r="J109" i="18"/>
  <c r="J103" i="18"/>
  <c r="J97" i="18"/>
  <c r="J91" i="18"/>
  <c r="J85" i="18"/>
  <c r="J79" i="18"/>
  <c r="J71" i="18"/>
  <c r="J67" i="18"/>
  <c r="H56" i="18"/>
  <c r="J47" i="18"/>
  <c r="J39" i="18"/>
  <c r="J31" i="18"/>
  <c r="J23" i="18"/>
  <c r="J151" i="18"/>
  <c r="J114" i="18"/>
  <c r="J106" i="18"/>
  <c r="J94" i="18"/>
  <c r="J82" i="18"/>
  <c r="J78" i="18"/>
  <c r="J66" i="18"/>
  <c r="J58" i="18"/>
  <c r="J54" i="18"/>
  <c r="J46" i="18"/>
  <c r="J38" i="18"/>
  <c r="J30" i="18"/>
  <c r="J22" i="18"/>
  <c r="J33" i="18"/>
  <c r="J41" i="18"/>
  <c r="J49" i="18"/>
  <c r="J73" i="18"/>
  <c r="J83" i="18"/>
  <c r="J121" i="18"/>
  <c r="J129" i="18"/>
  <c r="N138" i="18"/>
  <c r="Z150" i="18"/>
  <c r="L25" i="19"/>
  <c r="X20" i="21"/>
  <c r="Z20" i="21" s="1"/>
  <c r="N54" i="21"/>
  <c r="F75" i="21"/>
  <c r="F84" i="21"/>
  <c r="X88" i="21"/>
  <c r="J16" i="24"/>
  <c r="X33" i="24"/>
  <c r="L33" i="25"/>
  <c r="N33" i="25" s="1"/>
  <c r="J64" i="25"/>
  <c r="V110" i="12"/>
  <c r="V138" i="12"/>
  <c r="V142" i="12"/>
  <c r="V158" i="12"/>
  <c r="V93" i="15"/>
  <c r="V97" i="15"/>
  <c r="J99" i="15"/>
  <c r="V105" i="15"/>
  <c r="J107" i="15"/>
  <c r="V109" i="15"/>
  <c r="V113" i="15"/>
  <c r="V117" i="15"/>
  <c r="V121" i="15"/>
  <c r="V125" i="15"/>
  <c r="J129" i="15"/>
  <c r="V137" i="15"/>
  <c r="V141" i="15"/>
  <c r="V145" i="15"/>
  <c r="V153" i="15"/>
  <c r="L21" i="17"/>
  <c r="L13" i="20"/>
  <c r="T25" i="21"/>
  <c r="Z27" i="21"/>
  <c r="Z88" i="21"/>
  <c r="L13" i="23"/>
  <c r="X29" i="24"/>
  <c r="L13" i="25"/>
  <c r="N13" i="25" s="1"/>
  <c r="D12" i="25"/>
  <c r="F16" i="17"/>
  <c r="F20" i="17"/>
  <c r="R22" i="17"/>
  <c r="L59" i="18"/>
  <c r="N59" i="18" s="1"/>
  <c r="X85" i="18"/>
  <c r="Z85" i="18" s="1"/>
  <c r="L87" i="18"/>
  <c r="N87" i="18" s="1"/>
  <c r="X97" i="18"/>
  <c r="Z97" i="18" s="1"/>
  <c r="L99" i="18"/>
  <c r="N99" i="18" s="1"/>
  <c r="X109" i="18"/>
  <c r="Z109" i="18" s="1"/>
  <c r="L111" i="18"/>
  <c r="N111" i="18" s="1"/>
  <c r="L123" i="18"/>
  <c r="N123" i="18" s="1"/>
  <c r="L127" i="18"/>
  <c r="N127" i="18" s="1"/>
  <c r="X141" i="18"/>
  <c r="Z141" i="18" s="1"/>
  <c r="L143" i="18"/>
  <c r="N143" i="18" s="1"/>
  <c r="L147" i="18"/>
  <c r="N147" i="18" s="1"/>
  <c r="Z13" i="19"/>
  <c r="X16" i="19"/>
  <c r="X20" i="19"/>
  <c r="L24" i="19"/>
  <c r="R25" i="19"/>
  <c r="J27" i="19"/>
  <c r="R29" i="19"/>
  <c r="J31" i="19"/>
  <c r="R33" i="19"/>
  <c r="J34" i="19"/>
  <c r="R36" i="19"/>
  <c r="Z12" i="20"/>
  <c r="V16" i="20"/>
  <c r="V20" i="20"/>
  <c r="L21" i="20"/>
  <c r="J24" i="20"/>
  <c r="X34" i="20"/>
  <c r="V28" i="21"/>
  <c r="J32" i="21"/>
  <c r="V36" i="21"/>
  <c r="X39" i="21"/>
  <c r="Z39" i="21" s="1"/>
  <c r="V40" i="21"/>
  <c r="J44" i="21"/>
  <c r="V48" i="21"/>
  <c r="J50" i="21"/>
  <c r="V56" i="21"/>
  <c r="X59" i="21"/>
  <c r="Z59" i="21" s="1"/>
  <c r="V60" i="21"/>
  <c r="L61" i="21"/>
  <c r="N61" i="21" s="1"/>
  <c r="J64" i="21"/>
  <c r="X67" i="21"/>
  <c r="Z67" i="21" s="1"/>
  <c r="V68" i="21"/>
  <c r="L69" i="21"/>
  <c r="N69" i="21" s="1"/>
  <c r="V72" i="21"/>
  <c r="L73" i="21"/>
  <c r="N73" i="21" s="1"/>
  <c r="J76" i="21"/>
  <c r="J80" i="21"/>
  <c r="V84" i="21"/>
  <c r="L85" i="21"/>
  <c r="N85" i="21" s="1"/>
  <c r="X93" i="21"/>
  <c r="Z13" i="22"/>
  <c r="X16" i="22"/>
  <c r="X20" i="22"/>
  <c r="L24" i="22"/>
  <c r="J27" i="22"/>
  <c r="J31" i="22"/>
  <c r="J34" i="22"/>
  <c r="R36" i="22"/>
  <c r="Z12" i="23"/>
  <c r="F16" i="23"/>
  <c r="V16" i="23"/>
  <c r="F20" i="23"/>
  <c r="V20" i="23"/>
  <c r="L21" i="23"/>
  <c r="J24" i="23"/>
  <c r="X34" i="23"/>
  <c r="X12" i="24"/>
  <c r="X24" i="24"/>
  <c r="F27" i="24"/>
  <c r="F31" i="24"/>
  <c r="F34" i="24"/>
  <c r="V34" i="24"/>
  <c r="V41" i="25"/>
  <c r="V45" i="25"/>
  <c r="Z58" i="25"/>
  <c r="X58" i="25"/>
  <c r="V61" i="25"/>
  <c r="V73" i="25"/>
  <c r="V87" i="25"/>
  <c r="N22" i="27"/>
  <c r="L22" i="27"/>
  <c r="L42" i="28"/>
  <c r="N42" i="28" s="1"/>
  <c r="Z74" i="28"/>
  <c r="X74" i="28"/>
  <c r="L76" i="28"/>
  <c r="N76" i="28" s="1"/>
  <c r="F110" i="28"/>
  <c r="N22" i="29"/>
  <c r="L22" i="29"/>
  <c r="J34" i="30"/>
  <c r="J31" i="30"/>
  <c r="J27" i="30"/>
  <c r="J24" i="30"/>
  <c r="J21" i="30"/>
  <c r="J18" i="30"/>
  <c r="J36" i="30"/>
  <c r="J33" i="30"/>
  <c r="J29" i="30"/>
  <c r="J25" i="30"/>
  <c r="H18" i="30"/>
  <c r="J15" i="30"/>
  <c r="J22" i="30"/>
  <c r="N12" i="30"/>
  <c r="J44" i="31"/>
  <c r="J68" i="31"/>
  <c r="T31" i="32"/>
  <c r="V21" i="33"/>
  <c r="V18" i="33"/>
  <c r="V36" i="33"/>
  <c r="V33" i="33"/>
  <c r="V29" i="33"/>
  <c r="V25" i="33"/>
  <c r="T18" i="33"/>
  <c r="V15" i="33"/>
  <c r="V22" i="33"/>
  <c r="V20" i="33"/>
  <c r="V16" i="33"/>
  <c r="Z12" i="33"/>
  <c r="V34" i="33"/>
  <c r="V31" i="33"/>
  <c r="V27" i="33"/>
  <c r="V60" i="34"/>
  <c r="R15" i="17"/>
  <c r="P18" i="17"/>
  <c r="R25" i="17"/>
  <c r="R29" i="17"/>
  <c r="R33" i="17"/>
  <c r="R36" i="17"/>
  <c r="D150" i="18"/>
  <c r="L150" i="18" s="1"/>
  <c r="N150" i="18" s="1"/>
  <c r="J16" i="19"/>
  <c r="R18" i="19"/>
  <c r="J20" i="19"/>
  <c r="F22" i="19"/>
  <c r="V22" i="19"/>
  <c r="P18" i="20"/>
  <c r="R25" i="20"/>
  <c r="J27" i="20"/>
  <c r="R29" i="20"/>
  <c r="J31" i="20"/>
  <c r="R33" i="20"/>
  <c r="J34" i="20"/>
  <c r="R36" i="20"/>
  <c r="J21" i="21"/>
  <c r="V29" i="21"/>
  <c r="J33" i="21"/>
  <c r="V37" i="21"/>
  <c r="J39" i="21"/>
  <c r="V41" i="21"/>
  <c r="J45" i="21"/>
  <c r="V49" i="21"/>
  <c r="J53" i="21"/>
  <c r="V57" i="21"/>
  <c r="J59" i="21"/>
  <c r="V65" i="21"/>
  <c r="J67" i="21"/>
  <c r="J77" i="21"/>
  <c r="J81" i="21"/>
  <c r="J89" i="21"/>
  <c r="J93" i="21"/>
  <c r="J16" i="22"/>
  <c r="J20" i="22"/>
  <c r="F22" i="22"/>
  <c r="P18" i="23"/>
  <c r="J27" i="23"/>
  <c r="J31" i="23"/>
  <c r="R33" i="23"/>
  <c r="J34" i="23"/>
  <c r="R36" i="23"/>
  <c r="F16" i="24"/>
  <c r="F20" i="24"/>
  <c r="R22" i="24"/>
  <c r="V34" i="25"/>
  <c r="V42" i="25"/>
  <c r="V46" i="25"/>
  <c r="V50" i="25"/>
  <c r="N60" i="25"/>
  <c r="L60" i="25"/>
  <c r="V62" i="25"/>
  <c r="N64" i="28"/>
  <c r="Z84" i="28"/>
  <c r="F98" i="28"/>
  <c r="L120" i="28"/>
  <c r="D119" i="28"/>
  <c r="L119" i="28" s="1"/>
  <c r="Z25" i="30"/>
  <c r="X25" i="30"/>
  <c r="Z51" i="31"/>
  <c r="Z69" i="31"/>
  <c r="X69" i="31"/>
  <c r="R122" i="34"/>
  <c r="R125" i="34"/>
  <c r="R118" i="34"/>
  <c r="R113" i="34"/>
  <c r="R121" i="34"/>
  <c r="R112" i="34"/>
  <c r="R127" i="34"/>
  <c r="R115" i="34"/>
  <c r="R110" i="34"/>
  <c r="R106" i="34"/>
  <c r="R102" i="34"/>
  <c r="R98" i="34"/>
  <c r="R94" i="34"/>
  <c r="R91" i="34"/>
  <c r="R117" i="34"/>
  <c r="R114" i="34"/>
  <c r="R109" i="34"/>
  <c r="R105" i="34"/>
  <c r="R101" i="34"/>
  <c r="R97" i="34"/>
  <c r="R126" i="34"/>
  <c r="R120" i="34"/>
  <c r="R108" i="34"/>
  <c r="R93" i="34"/>
  <c r="R84" i="34"/>
  <c r="R80" i="34"/>
  <c r="R77" i="34"/>
  <c r="R60" i="34"/>
  <c r="R48" i="34"/>
  <c r="R36" i="34"/>
  <c r="R28" i="34"/>
  <c r="R20" i="34"/>
  <c r="R119" i="34"/>
  <c r="R103" i="34"/>
  <c r="R96" i="34"/>
  <c r="R90" i="34"/>
  <c r="R83" i="34"/>
  <c r="R71" i="34"/>
  <c r="R68" i="34"/>
  <c r="R59" i="34"/>
  <c r="R47" i="34"/>
  <c r="R42" i="34"/>
  <c r="R35" i="34"/>
  <c r="R27" i="34"/>
  <c r="R107" i="34"/>
  <c r="R89" i="34"/>
  <c r="R86" i="34"/>
  <c r="R79" i="34"/>
  <c r="R74" i="34"/>
  <c r="R58" i="34"/>
  <c r="R54" i="34"/>
  <c r="R46" i="34"/>
  <c r="R44" i="34"/>
  <c r="P42" i="34"/>
  <c r="R34" i="34"/>
  <c r="R26" i="34"/>
  <c r="R19" i="34"/>
  <c r="R82" i="34"/>
  <c r="R73" i="34"/>
  <c r="R70" i="34"/>
  <c r="R65" i="34"/>
  <c r="R57" i="34"/>
  <c r="R53" i="34"/>
  <c r="R33" i="34"/>
  <c r="R25" i="34"/>
  <c r="R131" i="34"/>
  <c r="R116" i="34"/>
  <c r="R111" i="34"/>
  <c r="R95" i="34"/>
  <c r="R85" i="34"/>
  <c r="R76" i="34"/>
  <c r="R64" i="34"/>
  <c r="R56" i="34"/>
  <c r="R52" i="34"/>
  <c r="R45" i="34"/>
  <c r="R40" i="34"/>
  <c r="R32" i="34"/>
  <c r="R24" i="34"/>
  <c r="R92" i="34"/>
  <c r="R88" i="34"/>
  <c r="R72" i="34"/>
  <c r="R67" i="34"/>
  <c r="R63" i="34"/>
  <c r="R51" i="34"/>
  <c r="R39" i="34"/>
  <c r="R31" i="34"/>
  <c r="R23" i="34"/>
  <c r="R100" i="34"/>
  <c r="R87" i="34"/>
  <c r="R78" i="34"/>
  <c r="R75" i="34"/>
  <c r="R62" i="34"/>
  <c r="R55" i="34"/>
  <c r="R50" i="34"/>
  <c r="R38" i="34"/>
  <c r="R30" i="34"/>
  <c r="R22" i="34"/>
  <c r="X12" i="34"/>
  <c r="Z12" i="34" s="1"/>
  <c r="V20" i="34"/>
  <c r="V36" i="34"/>
  <c r="R49" i="34"/>
  <c r="Z55" i="34"/>
  <c r="R66" i="34"/>
  <c r="Z79" i="34"/>
  <c r="J16" i="20"/>
  <c r="J20" i="20"/>
  <c r="J22" i="21"/>
  <c r="J28" i="21"/>
  <c r="V30" i="21"/>
  <c r="J34" i="21"/>
  <c r="V38" i="21"/>
  <c r="V42" i="21"/>
  <c r="J46" i="21"/>
  <c r="V54" i="21"/>
  <c r="J56" i="21"/>
  <c r="V58" i="21"/>
  <c r="J62" i="21"/>
  <c r="V66" i="21"/>
  <c r="J70" i="21"/>
  <c r="J74" i="21"/>
  <c r="J78" i="21"/>
  <c r="J82" i="21"/>
  <c r="J86" i="21"/>
  <c r="V90" i="21"/>
  <c r="J16" i="23"/>
  <c r="J20" i="23"/>
  <c r="V22" i="23"/>
  <c r="P18" i="24"/>
  <c r="R25" i="24"/>
  <c r="R29" i="24"/>
  <c r="R33" i="24"/>
  <c r="R36" i="24"/>
  <c r="P12" i="28"/>
  <c r="X15" i="28"/>
  <c r="X42" i="28"/>
  <c r="Z42" i="28" s="1"/>
  <c r="T27" i="29"/>
  <c r="Z18" i="29"/>
  <c r="D12" i="31"/>
  <c r="L13" i="31"/>
  <c r="N13" i="31" s="1"/>
  <c r="Z25" i="31"/>
  <c r="X25" i="31"/>
  <c r="N21" i="33"/>
  <c r="L21" i="33"/>
  <c r="N19" i="34"/>
  <c r="L19" i="34"/>
  <c r="Z89" i="34"/>
  <c r="N77" i="45"/>
  <c r="L77" i="45"/>
  <c r="R104" i="34"/>
  <c r="J15" i="19"/>
  <c r="H18" i="19"/>
  <c r="F21" i="19"/>
  <c r="V21" i="19"/>
  <c r="J25" i="19"/>
  <c r="R27" i="19"/>
  <c r="J29" i="19"/>
  <c r="R31" i="19"/>
  <c r="J33" i="19"/>
  <c r="R34" i="19"/>
  <c r="J36" i="19"/>
  <c r="N12" i="20"/>
  <c r="F18" i="20"/>
  <c r="V18" i="20"/>
  <c r="J22" i="20"/>
  <c r="R24" i="20"/>
  <c r="N12" i="21"/>
  <c r="V20" i="21"/>
  <c r="H25" i="21"/>
  <c r="V32" i="21"/>
  <c r="J36" i="21"/>
  <c r="J40" i="21"/>
  <c r="V44" i="21"/>
  <c r="J48" i="21"/>
  <c r="V52" i="21"/>
  <c r="J54" i="21"/>
  <c r="J60" i="21"/>
  <c r="V64" i="21"/>
  <c r="J68" i="21"/>
  <c r="J72" i="21"/>
  <c r="V76" i="21"/>
  <c r="V80" i="21"/>
  <c r="J84" i="21"/>
  <c r="V88" i="21"/>
  <c r="J90" i="21"/>
  <c r="J15" i="22"/>
  <c r="H18" i="22"/>
  <c r="F21" i="22"/>
  <c r="V21" i="22"/>
  <c r="J25" i="22"/>
  <c r="R27" i="22"/>
  <c r="J29" i="22"/>
  <c r="R31" i="22"/>
  <c r="J33" i="22"/>
  <c r="R34" i="22"/>
  <c r="J36" i="22"/>
  <c r="N12" i="23"/>
  <c r="F18" i="23"/>
  <c r="V18" i="23"/>
  <c r="J22" i="23"/>
  <c r="R24" i="23"/>
  <c r="L12" i="24"/>
  <c r="F15" i="24"/>
  <c r="V15" i="24"/>
  <c r="D18" i="24"/>
  <c r="T18" i="24"/>
  <c r="R21" i="24"/>
  <c r="F25" i="24"/>
  <c r="V25" i="24"/>
  <c r="F29" i="24"/>
  <c r="V29" i="24"/>
  <c r="F33" i="24"/>
  <c r="V33" i="24"/>
  <c r="F36" i="24"/>
  <c r="V36" i="24"/>
  <c r="V25" i="25"/>
  <c r="V31" i="25"/>
  <c r="V33" i="25"/>
  <c r="V37" i="25"/>
  <c r="Z78" i="25"/>
  <c r="N15" i="26"/>
  <c r="L15" i="26"/>
  <c r="F54" i="28"/>
  <c r="N72" i="28"/>
  <c r="N100" i="28"/>
  <c r="N116" i="28"/>
  <c r="L116" i="28"/>
  <c r="Z33" i="30"/>
  <c r="X33" i="30"/>
  <c r="T75" i="31"/>
  <c r="Z47" i="31"/>
  <c r="X13" i="32"/>
  <c r="V125" i="34"/>
  <c r="V112" i="34"/>
  <c r="V127" i="34"/>
  <c r="V115" i="34"/>
  <c r="V111" i="34"/>
  <c r="V103" i="34"/>
  <c r="V99" i="34"/>
  <c r="V124" i="34"/>
  <c r="V114" i="34"/>
  <c r="V117" i="34"/>
  <c r="V109" i="34"/>
  <c r="V105" i="34"/>
  <c r="V101" i="34"/>
  <c r="V97" i="34"/>
  <c r="V93" i="34"/>
  <c r="V126" i="34"/>
  <c r="V120" i="34"/>
  <c r="V116" i="34"/>
  <c r="V108" i="34"/>
  <c r="V104" i="34"/>
  <c r="V100" i="34"/>
  <c r="V96" i="34"/>
  <c r="V131" i="34"/>
  <c r="V119" i="34"/>
  <c r="V107" i="34"/>
  <c r="V102" i="34"/>
  <c r="V90" i="34"/>
  <c r="V89" i="34"/>
  <c r="V83" i="34"/>
  <c r="V79" i="34"/>
  <c r="V71" i="34"/>
  <c r="V59" i="34"/>
  <c r="V47" i="34"/>
  <c r="T42" i="34"/>
  <c r="V35" i="34"/>
  <c r="V27" i="34"/>
  <c r="V19" i="34"/>
  <c r="V86" i="34"/>
  <c r="V82" i="34"/>
  <c r="V74" i="34"/>
  <c r="V70" i="34"/>
  <c r="V58" i="34"/>
  <c r="V54" i="34"/>
  <c r="V46" i="34"/>
  <c r="V34" i="34"/>
  <c r="V26" i="34"/>
  <c r="V113" i="34"/>
  <c r="V110" i="34"/>
  <c r="V106" i="34"/>
  <c r="V85" i="34"/>
  <c r="V73" i="34"/>
  <c r="V65" i="34"/>
  <c r="V57" i="34"/>
  <c r="V53" i="34"/>
  <c r="V45" i="34"/>
  <c r="V33" i="34"/>
  <c r="V25" i="34"/>
  <c r="V95" i="34"/>
  <c r="V94" i="34"/>
  <c r="V76" i="34"/>
  <c r="V72" i="34"/>
  <c r="V64" i="34"/>
  <c r="V56" i="34"/>
  <c r="V52" i="34"/>
  <c r="V40" i="34"/>
  <c r="V32" i="34"/>
  <c r="V24" i="34"/>
  <c r="V121" i="34"/>
  <c r="V92" i="34"/>
  <c r="V91" i="34"/>
  <c r="V88" i="34"/>
  <c r="V87" i="34"/>
  <c r="V75" i="34"/>
  <c r="V67" i="34"/>
  <c r="V63" i="34"/>
  <c r="V55" i="34"/>
  <c r="V51" i="34"/>
  <c r="V39" i="34"/>
  <c r="V31" i="34"/>
  <c r="V23" i="34"/>
  <c r="V118" i="34"/>
  <c r="V98" i="34"/>
  <c r="V78" i="34"/>
  <c r="V66" i="34"/>
  <c r="V62" i="34"/>
  <c r="V50" i="34"/>
  <c r="V38" i="34"/>
  <c r="V30" i="34"/>
  <c r="V22" i="34"/>
  <c r="V81" i="34"/>
  <c r="V77" i="34"/>
  <c r="V69" i="34"/>
  <c r="V61" i="34"/>
  <c r="V49" i="34"/>
  <c r="V37" i="34"/>
  <c r="V29" i="34"/>
  <c r="V21" i="34"/>
  <c r="Z19" i="34"/>
  <c r="L44" i="34"/>
  <c r="N44" i="34" s="1"/>
  <c r="N45" i="34"/>
  <c r="V68" i="34"/>
  <c r="Z75" i="34"/>
  <c r="R81" i="34"/>
  <c r="N85" i="34"/>
  <c r="F21" i="17"/>
  <c r="R27" i="17"/>
  <c r="R31" i="17"/>
  <c r="P12" i="18"/>
  <c r="R16" i="19"/>
  <c r="J18" i="19"/>
  <c r="F24" i="19"/>
  <c r="J15" i="20"/>
  <c r="H18" i="20"/>
  <c r="F21" i="20"/>
  <c r="V21" i="20"/>
  <c r="J25" i="20"/>
  <c r="R27" i="20"/>
  <c r="J29" i="20"/>
  <c r="R31" i="20"/>
  <c r="J33" i="20"/>
  <c r="J36" i="20"/>
  <c r="V21" i="21"/>
  <c r="J25" i="21"/>
  <c r="J29" i="21"/>
  <c r="V33" i="21"/>
  <c r="J37" i="21"/>
  <c r="J41" i="21"/>
  <c r="V45" i="21"/>
  <c r="J49" i="21"/>
  <c r="V53" i="21"/>
  <c r="J57" i="21"/>
  <c r="V61" i="21"/>
  <c r="J63" i="21"/>
  <c r="V69" i="21"/>
  <c r="V73" i="21"/>
  <c r="J75" i="21"/>
  <c r="V77" i="21"/>
  <c r="J79" i="21"/>
  <c r="V81" i="21"/>
  <c r="V85" i="21"/>
  <c r="V89" i="21"/>
  <c r="R16" i="22"/>
  <c r="J18" i="22"/>
  <c r="R20" i="22"/>
  <c r="F24" i="22"/>
  <c r="V24" i="22"/>
  <c r="J15" i="23"/>
  <c r="H18" i="23"/>
  <c r="F21" i="23"/>
  <c r="V21" i="23"/>
  <c r="J25" i="23"/>
  <c r="R27" i="23"/>
  <c r="J29" i="23"/>
  <c r="R31" i="23"/>
  <c r="J33" i="23"/>
  <c r="J36" i="23"/>
  <c r="F18" i="24"/>
  <c r="V18" i="24"/>
  <c r="R24" i="24"/>
  <c r="V26" i="25"/>
  <c r="V38" i="25"/>
  <c r="V77" i="25"/>
  <c r="F122" i="28"/>
  <c r="F116" i="28"/>
  <c r="F105" i="28"/>
  <c r="F101" i="28"/>
  <c r="F88" i="28"/>
  <c r="F85" i="28"/>
  <c r="F76" i="28"/>
  <c r="F73" i="28"/>
  <c r="F68" i="28"/>
  <c r="F65" i="28"/>
  <c r="F61" i="28"/>
  <c r="F49" i="28"/>
  <c r="F37" i="28"/>
  <c r="F29" i="28"/>
  <c r="F21" i="28"/>
  <c r="F112" i="28"/>
  <c r="F104" i="28"/>
  <c r="F79" i="28"/>
  <c r="F60" i="28"/>
  <c r="F48" i="28"/>
  <c r="F43" i="28"/>
  <c r="F42" i="28"/>
  <c r="F36" i="28"/>
  <c r="F28" i="28"/>
  <c r="F20" i="28"/>
  <c r="F115" i="28"/>
  <c r="F90" i="28"/>
  <c r="F87" i="28"/>
  <c r="F82" i="28"/>
  <c r="F75" i="28"/>
  <c r="F70" i="28"/>
  <c r="F67" i="28"/>
  <c r="F59" i="28"/>
  <c r="F47" i="28"/>
  <c r="F35" i="28"/>
  <c r="F27" i="28"/>
  <c r="F126" i="28"/>
  <c r="F121" i="28"/>
  <c r="F119" i="28"/>
  <c r="F114" i="28"/>
  <c r="F109" i="28"/>
  <c r="F97" i="28"/>
  <c r="F93" i="28"/>
  <c r="F78" i="28"/>
  <c r="F58" i="28"/>
  <c r="F53" i="28"/>
  <c r="F46" i="28"/>
  <c r="F34" i="28"/>
  <c r="F26" i="28"/>
  <c r="F117" i="28"/>
  <c r="F100" i="28"/>
  <c r="F89" i="28"/>
  <c r="F84" i="28"/>
  <c r="F81" i="28"/>
  <c r="F77" i="28"/>
  <c r="F72" i="28"/>
  <c r="F69" i="28"/>
  <c r="F64" i="28"/>
  <c r="F57" i="28"/>
  <c r="F45" i="28"/>
  <c r="F33" i="28"/>
  <c r="F25" i="28"/>
  <c r="F111" i="28"/>
  <c r="F108" i="28"/>
  <c r="F103" i="28"/>
  <c r="F96" i="28"/>
  <c r="F92" i="28"/>
  <c r="F80" i="28"/>
  <c r="F56" i="28"/>
  <c r="F52" i="28"/>
  <c r="F44" i="28"/>
  <c r="F32" i="28"/>
  <c r="F24" i="28"/>
  <c r="F19" i="28"/>
  <c r="F120" i="28"/>
  <c r="F107" i="28"/>
  <c r="F99" i="28"/>
  <c r="F95" i="28"/>
  <c r="F91" i="28"/>
  <c r="F86" i="28"/>
  <c r="F83" i="28"/>
  <c r="F74" i="28"/>
  <c r="F71" i="28"/>
  <c r="F66" i="28"/>
  <c r="F63" i="28"/>
  <c r="F55" i="28"/>
  <c r="F51" i="28"/>
  <c r="F40" i="28"/>
  <c r="F31" i="28"/>
  <c r="F23" i="28"/>
  <c r="F22" i="28"/>
  <c r="F62" i="28"/>
  <c r="Z66" i="28"/>
  <c r="X66" i="28"/>
  <c r="N68" i="28"/>
  <c r="L68" i="28"/>
  <c r="F102" i="28"/>
  <c r="Z20" i="32"/>
  <c r="X20" i="32"/>
  <c r="V24" i="33"/>
  <c r="V28" i="34"/>
  <c r="N93" i="34"/>
  <c r="L93" i="34"/>
  <c r="R99" i="34"/>
  <c r="J18" i="20"/>
  <c r="V24" i="20"/>
  <c r="J20" i="21"/>
  <c r="V22" i="21"/>
  <c r="J30" i="21"/>
  <c r="V34" i="21"/>
  <c r="J38" i="21"/>
  <c r="J42" i="21"/>
  <c r="V46" i="21"/>
  <c r="V50" i="21"/>
  <c r="J52" i="21"/>
  <c r="J58" i="21"/>
  <c r="V62" i="21"/>
  <c r="J66" i="21"/>
  <c r="V70" i="21"/>
  <c r="V74" i="21"/>
  <c r="V78" i="21"/>
  <c r="V82" i="21"/>
  <c r="V86" i="21"/>
  <c r="J88" i="21"/>
  <c r="J18" i="23"/>
  <c r="V24" i="23"/>
  <c r="F21" i="24"/>
  <c r="R27" i="24"/>
  <c r="R31" i="24"/>
  <c r="R34" i="24"/>
  <c r="N25" i="26"/>
  <c r="L25" i="26"/>
  <c r="N29" i="26"/>
  <c r="L29" i="26"/>
  <c r="Z15" i="30"/>
  <c r="X15" i="30"/>
  <c r="N24" i="32"/>
  <c r="L24" i="32"/>
  <c r="Z34" i="33"/>
  <c r="X34" i="33"/>
  <c r="N21" i="38"/>
  <c r="L21" i="38"/>
  <c r="F31" i="17"/>
  <c r="F16" i="19"/>
  <c r="X12" i="20"/>
  <c r="F27" i="20"/>
  <c r="V27" i="20"/>
  <c r="F31" i="20"/>
  <c r="V31" i="20"/>
  <c r="V23" i="21"/>
  <c r="J31" i="21"/>
  <c r="V35" i="21"/>
  <c r="V39" i="21"/>
  <c r="J43" i="21"/>
  <c r="V47" i="21"/>
  <c r="V51" i="21"/>
  <c r="J55" i="21"/>
  <c r="V59" i="21"/>
  <c r="J61" i="21"/>
  <c r="V67" i="21"/>
  <c r="J69" i="21"/>
  <c r="V71" i="21"/>
  <c r="J73" i="21"/>
  <c r="V83" i="21"/>
  <c r="J85" i="21"/>
  <c r="V87" i="21"/>
  <c r="J91" i="21"/>
  <c r="V93" i="21"/>
  <c r="F16" i="22"/>
  <c r="V16" i="22"/>
  <c r="X12" i="23"/>
  <c r="F27" i="23"/>
  <c r="V27" i="23"/>
  <c r="F31" i="23"/>
  <c r="V31" i="23"/>
  <c r="R16" i="24"/>
  <c r="V80" i="25"/>
  <c r="V76" i="25"/>
  <c r="V72" i="25"/>
  <c r="V60" i="25"/>
  <c r="V89" i="25"/>
  <c r="V83" i="25"/>
  <c r="V79" i="25"/>
  <c r="V75" i="25"/>
  <c r="V71" i="25"/>
  <c r="V63" i="25"/>
  <c r="V55" i="25"/>
  <c r="V82" i="25"/>
  <c r="V78" i="25"/>
  <c r="V91" i="25"/>
  <c r="V85" i="25"/>
  <c r="V81" i="25"/>
  <c r="V65" i="25"/>
  <c r="V57" i="25"/>
  <c r="V53" i="25"/>
  <c r="V88" i="25"/>
  <c r="V84" i="25"/>
  <c r="V68" i="25"/>
  <c r="V64" i="25"/>
  <c r="V56" i="25"/>
  <c r="V52" i="25"/>
  <c r="V67" i="25"/>
  <c r="V59" i="25"/>
  <c r="V51" i="25"/>
  <c r="V90" i="25"/>
  <c r="V74" i="25"/>
  <c r="V70" i="25"/>
  <c r="V58" i="25"/>
  <c r="V20" i="25"/>
  <c r="V28" i="25"/>
  <c r="V40" i="25"/>
  <c r="V54" i="25"/>
  <c r="V66" i="25"/>
  <c r="Z87" i="25"/>
  <c r="N33" i="26"/>
  <c r="L33" i="26"/>
  <c r="Z68" i="28"/>
  <c r="J20" i="30"/>
  <c r="Z29" i="30"/>
  <c r="X29" i="30"/>
  <c r="J67" i="31"/>
  <c r="J63" i="31"/>
  <c r="J59" i="31"/>
  <c r="J53" i="31"/>
  <c r="J43" i="31"/>
  <c r="J31" i="31"/>
  <c r="J70" i="31"/>
  <c r="J66" i="31"/>
  <c r="J56" i="31"/>
  <c r="J50" i="31"/>
  <c r="J42" i="31"/>
  <c r="J36" i="31"/>
  <c r="J30" i="31"/>
  <c r="J65" i="31"/>
  <c r="J47" i="31"/>
  <c r="J41" i="31"/>
  <c r="J29" i="31"/>
  <c r="J19" i="31"/>
  <c r="J73" i="31"/>
  <c r="J62" i="31"/>
  <c r="J58" i="31"/>
  <c r="J52" i="31"/>
  <c r="J40" i="31"/>
  <c r="J28" i="31"/>
  <c r="J69" i="31"/>
  <c r="J55" i="31"/>
  <c r="J49" i="31"/>
  <c r="J39" i="31"/>
  <c r="J35" i="31"/>
  <c r="J27" i="31"/>
  <c r="J23" i="31"/>
  <c r="J64" i="31"/>
  <c r="J54" i="31"/>
  <c r="J46" i="31"/>
  <c r="J38" i="31"/>
  <c r="J34" i="31"/>
  <c r="H23" i="31"/>
  <c r="J77" i="31"/>
  <c r="J61" i="31"/>
  <c r="J57" i="31"/>
  <c r="J51" i="31"/>
  <c r="J45" i="31"/>
  <c r="J37" i="31"/>
  <c r="J33" i="31"/>
  <c r="J25" i="31"/>
  <c r="J21" i="31"/>
  <c r="L25" i="31"/>
  <c r="N25" i="31" s="1"/>
  <c r="X49" i="31"/>
  <c r="Z49" i="31" s="1"/>
  <c r="L51" i="31"/>
  <c r="N51" i="31" s="1"/>
  <c r="J60" i="31"/>
  <c r="N69" i="31"/>
  <c r="R21" i="34"/>
  <c r="R37" i="34"/>
  <c r="X44" i="34"/>
  <c r="Z44" i="34" s="1"/>
  <c r="Z77" i="34"/>
  <c r="X77" i="34"/>
  <c r="L79" i="34"/>
  <c r="N79" i="34" s="1"/>
  <c r="V84" i="34"/>
  <c r="L121" i="34"/>
  <c r="N121" i="34" s="1"/>
  <c r="J15" i="26"/>
  <c r="H18" i="26"/>
  <c r="F21" i="26"/>
  <c r="V21" i="26"/>
  <c r="J25" i="26"/>
  <c r="R27" i="26"/>
  <c r="J29" i="26"/>
  <c r="R31" i="26"/>
  <c r="J33" i="26"/>
  <c r="R34" i="26"/>
  <c r="J36" i="26"/>
  <c r="N12" i="27"/>
  <c r="F18" i="27"/>
  <c r="V18" i="27"/>
  <c r="J22" i="27"/>
  <c r="R24" i="27"/>
  <c r="N12" i="28"/>
  <c r="J22" i="28"/>
  <c r="V26" i="28"/>
  <c r="J30" i="28"/>
  <c r="V34" i="28"/>
  <c r="J38" i="28"/>
  <c r="V40" i="28"/>
  <c r="J42" i="28"/>
  <c r="V42" i="28"/>
  <c r="V46" i="28"/>
  <c r="J50" i="28"/>
  <c r="J54" i="28"/>
  <c r="V58" i="28"/>
  <c r="J62" i="28"/>
  <c r="V66" i="28"/>
  <c r="J68" i="28"/>
  <c r="V74" i="28"/>
  <c r="J76" i="28"/>
  <c r="V78" i="28"/>
  <c r="V86" i="28"/>
  <c r="J88" i="28"/>
  <c r="J94" i="28"/>
  <c r="J98" i="28"/>
  <c r="J102" i="28"/>
  <c r="J106" i="28"/>
  <c r="J110" i="28"/>
  <c r="V114" i="28"/>
  <c r="J116" i="28"/>
  <c r="V124" i="28"/>
  <c r="V126" i="28"/>
  <c r="N12" i="29"/>
  <c r="F18" i="29"/>
  <c r="V18" i="29"/>
  <c r="J22" i="29"/>
  <c r="R24" i="29"/>
  <c r="L12" i="30"/>
  <c r="F15" i="30"/>
  <c r="V15" i="30"/>
  <c r="D18" i="30"/>
  <c r="T18" i="30"/>
  <c r="R21" i="30"/>
  <c r="F25" i="30"/>
  <c r="V25" i="30"/>
  <c r="F29" i="30"/>
  <c r="V29" i="30"/>
  <c r="F33" i="30"/>
  <c r="V33" i="30"/>
  <c r="F36" i="30"/>
  <c r="V36" i="30"/>
  <c r="V23" i="31"/>
  <c r="V25" i="31"/>
  <c r="V29" i="31"/>
  <c r="V41" i="31"/>
  <c r="V49" i="31"/>
  <c r="V65" i="31"/>
  <c r="V69" i="31"/>
  <c r="V73" i="31"/>
  <c r="Z12" i="32"/>
  <c r="F16" i="32"/>
  <c r="V16" i="32"/>
  <c r="F20" i="32"/>
  <c r="V20" i="32"/>
  <c r="R22" i="32"/>
  <c r="J24" i="32"/>
  <c r="X12" i="33"/>
  <c r="J21" i="33"/>
  <c r="F27" i="33"/>
  <c r="F31" i="33"/>
  <c r="F34" i="33"/>
  <c r="J19" i="34"/>
  <c r="J25" i="34"/>
  <c r="J33" i="34"/>
  <c r="H42" i="34"/>
  <c r="J53" i="34"/>
  <c r="J57" i="34"/>
  <c r="J65" i="34"/>
  <c r="J73" i="34"/>
  <c r="J79" i="34"/>
  <c r="J93" i="34"/>
  <c r="Z118" i="34"/>
  <c r="P124" i="34"/>
  <c r="X124" i="34" s="1"/>
  <c r="Z124" i="34" s="1"/>
  <c r="F107" i="36"/>
  <c r="F99" i="36"/>
  <c r="F74" i="36"/>
  <c r="F71" i="36"/>
  <c r="F54" i="36"/>
  <c r="F51" i="36"/>
  <c r="F47" i="36"/>
  <c r="F35" i="36"/>
  <c r="D25" i="36"/>
  <c r="F23" i="36"/>
  <c r="F110" i="36"/>
  <c r="F98" i="36"/>
  <c r="F89" i="36"/>
  <c r="F81" i="36"/>
  <c r="F65" i="36"/>
  <c r="F62" i="36"/>
  <c r="F46" i="36"/>
  <c r="F34" i="36"/>
  <c r="F22" i="36"/>
  <c r="F116" i="36"/>
  <c r="F114" i="36"/>
  <c r="F109" i="36"/>
  <c r="F97" i="36"/>
  <c r="F92" i="36"/>
  <c r="F76" i="36"/>
  <c r="F73" i="36"/>
  <c r="F68" i="36"/>
  <c r="F56" i="36"/>
  <c r="F53" i="36"/>
  <c r="F45" i="36"/>
  <c r="F33" i="36"/>
  <c r="F28" i="36"/>
  <c r="F27" i="36"/>
  <c r="F21" i="36"/>
  <c r="F112" i="36"/>
  <c r="F103" i="36"/>
  <c r="F96" i="36"/>
  <c r="F88" i="36"/>
  <c r="F83" i="36"/>
  <c r="F80" i="36"/>
  <c r="F64" i="36"/>
  <c r="F59" i="36"/>
  <c r="F44" i="36"/>
  <c r="F39" i="36"/>
  <c r="F32" i="36"/>
  <c r="F118" i="36"/>
  <c r="F106" i="36"/>
  <c r="F95" i="36"/>
  <c r="F91" i="36"/>
  <c r="F87" i="36"/>
  <c r="F79" i="36"/>
  <c r="F75" i="36"/>
  <c r="F70" i="36"/>
  <c r="F67" i="36"/>
  <c r="F55" i="36"/>
  <c r="F50" i="36"/>
  <c r="F43" i="36"/>
  <c r="F31" i="36"/>
  <c r="F115" i="36"/>
  <c r="F102" i="36"/>
  <c r="F94" i="36"/>
  <c r="F90" i="36"/>
  <c r="F86" i="36"/>
  <c r="F82" i="36"/>
  <c r="F78" i="36"/>
  <c r="F66" i="36"/>
  <c r="F61" i="36"/>
  <c r="F58" i="36"/>
  <c r="F42" i="36"/>
  <c r="F38" i="36"/>
  <c r="F30" i="36"/>
  <c r="F108" i="36"/>
  <c r="F105" i="36"/>
  <c r="F101" i="36"/>
  <c r="F93" i="36"/>
  <c r="F85" i="36"/>
  <c r="F77" i="36"/>
  <c r="F72" i="36"/>
  <c r="F69" i="36"/>
  <c r="F57" i="36"/>
  <c r="F52" i="36"/>
  <c r="F49" i="36"/>
  <c r="F41" i="36"/>
  <c r="F37" i="36"/>
  <c r="F29" i="36"/>
  <c r="F20" i="36"/>
  <c r="N50" i="36"/>
  <c r="N74" i="36"/>
  <c r="L74" i="36"/>
  <c r="Z108" i="36"/>
  <c r="X108" i="36"/>
  <c r="Z34" i="38"/>
  <c r="X34" i="38"/>
  <c r="V22" i="39"/>
  <c r="R16" i="26"/>
  <c r="J18" i="26"/>
  <c r="R20" i="26"/>
  <c r="F24" i="26"/>
  <c r="V24" i="26"/>
  <c r="J15" i="27"/>
  <c r="H18" i="27"/>
  <c r="V21" i="27"/>
  <c r="J25" i="27"/>
  <c r="R27" i="27"/>
  <c r="J29" i="27"/>
  <c r="R31" i="27"/>
  <c r="J33" i="27"/>
  <c r="R34" i="27"/>
  <c r="J36" i="27"/>
  <c r="J23" i="28"/>
  <c r="J31" i="28"/>
  <c r="V35" i="28"/>
  <c r="H40" i="28"/>
  <c r="L40" i="28" s="1"/>
  <c r="V47" i="28"/>
  <c r="J51" i="28"/>
  <c r="J55" i="28"/>
  <c r="V59" i="28"/>
  <c r="J63" i="28"/>
  <c r="V67" i="28"/>
  <c r="J71" i="28"/>
  <c r="V75" i="28"/>
  <c r="J83" i="28"/>
  <c r="V87" i="28"/>
  <c r="J91" i="28"/>
  <c r="J95" i="28"/>
  <c r="J99" i="28"/>
  <c r="V103" i="28"/>
  <c r="J107" i="28"/>
  <c r="V111" i="28"/>
  <c r="J113" i="28"/>
  <c r="V115" i="28"/>
  <c r="J120" i="28"/>
  <c r="V121" i="28"/>
  <c r="H18" i="29"/>
  <c r="J25" i="29"/>
  <c r="R27" i="29"/>
  <c r="J29" i="29"/>
  <c r="R31" i="29"/>
  <c r="J33" i="29"/>
  <c r="R34" i="29"/>
  <c r="J36" i="29"/>
  <c r="V30" i="31"/>
  <c r="V42" i="31"/>
  <c r="V50" i="31"/>
  <c r="V58" i="31"/>
  <c r="V62" i="31"/>
  <c r="V66" i="31"/>
  <c r="V70" i="31"/>
  <c r="J24" i="33"/>
  <c r="J26" i="34"/>
  <c r="J34" i="34"/>
  <c r="J42" i="34"/>
  <c r="J46" i="34"/>
  <c r="J54" i="34"/>
  <c r="J58" i="34"/>
  <c r="J68" i="34"/>
  <c r="J74" i="34"/>
  <c r="J86" i="34"/>
  <c r="Z87" i="34"/>
  <c r="J89" i="34"/>
  <c r="J94" i="34"/>
  <c r="J96" i="34"/>
  <c r="J97" i="34"/>
  <c r="J106" i="34"/>
  <c r="J110" i="34"/>
  <c r="J127" i="34"/>
  <c r="N22" i="35"/>
  <c r="L22" i="35"/>
  <c r="Z72" i="36"/>
  <c r="X72" i="36"/>
  <c r="Z54" i="39"/>
  <c r="H100" i="45"/>
  <c r="J23" i="45"/>
  <c r="X12" i="26"/>
  <c r="J21" i="26"/>
  <c r="F27" i="26"/>
  <c r="V27" i="26"/>
  <c r="F31" i="26"/>
  <c r="V31" i="26"/>
  <c r="F34" i="26"/>
  <c r="V34" i="26"/>
  <c r="R16" i="27"/>
  <c r="J18" i="27"/>
  <c r="R20" i="27"/>
  <c r="F24" i="27"/>
  <c r="V24" i="27"/>
  <c r="V20" i="28"/>
  <c r="J24" i="28"/>
  <c r="V28" i="28"/>
  <c r="J32" i="28"/>
  <c r="V36" i="28"/>
  <c r="J40" i="28"/>
  <c r="J44" i="28"/>
  <c r="V48" i="28"/>
  <c r="J52" i="28"/>
  <c r="J56" i="28"/>
  <c r="V60" i="28"/>
  <c r="V64" i="28"/>
  <c r="J66" i="28"/>
  <c r="V72" i="28"/>
  <c r="J74" i="28"/>
  <c r="J80" i="28"/>
  <c r="V84" i="28"/>
  <c r="J86" i="28"/>
  <c r="J92" i="28"/>
  <c r="J96" i="28"/>
  <c r="V100" i="28"/>
  <c r="V104" i="28"/>
  <c r="J108" i="28"/>
  <c r="V112" i="28"/>
  <c r="R16" i="29"/>
  <c r="J18" i="29"/>
  <c r="R20" i="29"/>
  <c r="F21" i="30"/>
  <c r="V21" i="30"/>
  <c r="R27" i="30"/>
  <c r="R31" i="30"/>
  <c r="R34" i="30"/>
  <c r="P12" i="31"/>
  <c r="V19" i="31"/>
  <c r="V31" i="31"/>
  <c r="V43" i="31"/>
  <c r="V47" i="31"/>
  <c r="V59" i="31"/>
  <c r="V63" i="31"/>
  <c r="V67" i="31"/>
  <c r="J16" i="32"/>
  <c r="J20" i="32"/>
  <c r="F22" i="32"/>
  <c r="V22" i="32"/>
  <c r="R15" i="33"/>
  <c r="P18" i="33"/>
  <c r="R25" i="33"/>
  <c r="J27" i="33"/>
  <c r="R29" i="33"/>
  <c r="J31" i="33"/>
  <c r="R33" i="33"/>
  <c r="J34" i="33"/>
  <c r="R36" i="33"/>
  <c r="D12" i="34"/>
  <c r="J27" i="34"/>
  <c r="J35" i="34"/>
  <c r="J47" i="34"/>
  <c r="J59" i="34"/>
  <c r="J71" i="34"/>
  <c r="J77" i="34"/>
  <c r="J83" i="34"/>
  <c r="N20" i="36"/>
  <c r="N27" i="36"/>
  <c r="Z50" i="36"/>
  <c r="N52" i="36"/>
  <c r="Z74" i="36"/>
  <c r="F122" i="36"/>
  <c r="Z16" i="37"/>
  <c r="X16" i="37"/>
  <c r="Z20" i="37"/>
  <c r="X20" i="37"/>
  <c r="V47" i="39"/>
  <c r="V58" i="39"/>
  <c r="F16" i="26"/>
  <c r="F20" i="26"/>
  <c r="V20" i="26"/>
  <c r="J24" i="26"/>
  <c r="J21" i="27"/>
  <c r="F27" i="27"/>
  <c r="V27" i="27"/>
  <c r="F31" i="27"/>
  <c r="V31" i="27"/>
  <c r="J19" i="28"/>
  <c r="J25" i="28"/>
  <c r="V29" i="28"/>
  <c r="J33" i="28"/>
  <c r="V37" i="28"/>
  <c r="J45" i="28"/>
  <c r="V49" i="28"/>
  <c r="V53" i="28"/>
  <c r="J57" i="28"/>
  <c r="V61" i="28"/>
  <c r="V65" i="28"/>
  <c r="J69" i="28"/>
  <c r="V73" i="28"/>
  <c r="J77" i="28"/>
  <c r="J81" i="28"/>
  <c r="V85" i="28"/>
  <c r="J89" i="28"/>
  <c r="V93" i="28"/>
  <c r="V97" i="28"/>
  <c r="V101" i="28"/>
  <c r="J103" i="28"/>
  <c r="V105" i="28"/>
  <c r="V109" i="28"/>
  <c r="J111" i="28"/>
  <c r="J117" i="28"/>
  <c r="V119" i="28"/>
  <c r="X12" i="29"/>
  <c r="J21" i="29"/>
  <c r="F24" i="30"/>
  <c r="V24" i="30"/>
  <c r="V20" i="31"/>
  <c r="V32" i="31"/>
  <c r="V36" i="31"/>
  <c r="V44" i="31"/>
  <c r="V48" i="31"/>
  <c r="V56" i="31"/>
  <c r="V60" i="31"/>
  <c r="V68" i="31"/>
  <c r="L12" i="32"/>
  <c r="F15" i="32"/>
  <c r="D18" i="32"/>
  <c r="F25" i="32"/>
  <c r="V25" i="32"/>
  <c r="F29" i="32"/>
  <c r="V29" i="32"/>
  <c r="F33" i="32"/>
  <c r="V33" i="32"/>
  <c r="F36" i="32"/>
  <c r="V36" i="32"/>
  <c r="J16" i="33"/>
  <c r="J20" i="33"/>
  <c r="J124" i="34"/>
  <c r="J120" i="34"/>
  <c r="J114" i="34"/>
  <c r="J108" i="34"/>
  <c r="J131" i="34"/>
  <c r="J126" i="34"/>
  <c r="J119" i="34"/>
  <c r="J122" i="34"/>
  <c r="J116" i="34"/>
  <c r="J113" i="34"/>
  <c r="J107" i="34"/>
  <c r="J125" i="34"/>
  <c r="J118" i="34"/>
  <c r="J112" i="34"/>
  <c r="J92" i="34"/>
  <c r="J121" i="34"/>
  <c r="J115" i="34"/>
  <c r="J111" i="34"/>
  <c r="J103" i="34"/>
  <c r="J99" i="34"/>
  <c r="J95" i="34"/>
  <c r="J20" i="34"/>
  <c r="J28" i="34"/>
  <c r="J36" i="34"/>
  <c r="J48" i="34"/>
  <c r="J60" i="34"/>
  <c r="J66" i="34"/>
  <c r="J80" i="34"/>
  <c r="J84" i="34"/>
  <c r="X91" i="34"/>
  <c r="Z91" i="34" s="1"/>
  <c r="J102" i="34"/>
  <c r="J104" i="34"/>
  <c r="J105" i="34"/>
  <c r="X107" i="34"/>
  <c r="D27" i="35"/>
  <c r="L54" i="36"/>
  <c r="N54" i="36" s="1"/>
  <c r="N24" i="37"/>
  <c r="L24" i="37"/>
  <c r="J24" i="27"/>
  <c r="J34" i="28"/>
  <c r="V38" i="28"/>
  <c r="J46" i="28"/>
  <c r="V50" i="28"/>
  <c r="V54" i="28"/>
  <c r="J58" i="28"/>
  <c r="V62" i="28"/>
  <c r="J64" i="28"/>
  <c r="V70" i="28"/>
  <c r="J72" i="28"/>
  <c r="J78" i="28"/>
  <c r="V82" i="28"/>
  <c r="J84" i="28"/>
  <c r="V90" i="28"/>
  <c r="V94" i="28"/>
  <c r="V98" i="28"/>
  <c r="J100" i="28"/>
  <c r="V102" i="28"/>
  <c r="V106" i="28"/>
  <c r="V110" i="28"/>
  <c r="J114" i="28"/>
  <c r="J121" i="28"/>
  <c r="V122" i="28"/>
  <c r="J126" i="28"/>
  <c r="X13" i="29"/>
  <c r="R22" i="29"/>
  <c r="J24" i="29"/>
  <c r="X12" i="30"/>
  <c r="F27" i="30"/>
  <c r="V27" i="30"/>
  <c r="F31" i="30"/>
  <c r="V31" i="30"/>
  <c r="F34" i="30"/>
  <c r="V34" i="30"/>
  <c r="V21" i="31"/>
  <c r="V33" i="31"/>
  <c r="V37" i="31"/>
  <c r="V45" i="31"/>
  <c r="V53" i="31"/>
  <c r="X56" i="31"/>
  <c r="V57" i="31"/>
  <c r="L58" i="31"/>
  <c r="N58" i="31" s="1"/>
  <c r="V61" i="31"/>
  <c r="L62" i="31"/>
  <c r="N62" i="31" s="1"/>
  <c r="D72" i="31"/>
  <c r="L72" i="31" s="1"/>
  <c r="V75" i="31"/>
  <c r="V77" i="31"/>
  <c r="N12" i="32"/>
  <c r="F18" i="32"/>
  <c r="V18" i="32"/>
  <c r="J22" i="32"/>
  <c r="R24" i="32"/>
  <c r="L12" i="33"/>
  <c r="F15" i="33"/>
  <c r="D18" i="33"/>
  <c r="R21" i="33"/>
  <c r="F25" i="33"/>
  <c r="F29" i="33"/>
  <c r="F33" i="33"/>
  <c r="F36" i="33"/>
  <c r="X16" i="34"/>
  <c r="J21" i="34"/>
  <c r="J29" i="34"/>
  <c r="J37" i="34"/>
  <c r="J49" i="34"/>
  <c r="J55" i="34"/>
  <c r="J61" i="34"/>
  <c r="J69" i="34"/>
  <c r="J75" i="34"/>
  <c r="J81" i="34"/>
  <c r="J87" i="34"/>
  <c r="J101" i="34"/>
  <c r="J109" i="34"/>
  <c r="T25" i="36"/>
  <c r="Z20" i="36"/>
  <c r="X20" i="36"/>
  <c r="X27" i="36"/>
  <c r="Z27" i="36" s="1"/>
  <c r="Z28" i="36"/>
  <c r="F48" i="36"/>
  <c r="X52" i="36"/>
  <c r="Z52" i="36" s="1"/>
  <c r="F63" i="36"/>
  <c r="N76" i="36"/>
  <c r="F111" i="36"/>
  <c r="V21" i="38"/>
  <c r="V18" i="38"/>
  <c r="V36" i="38"/>
  <c r="V33" i="38"/>
  <c r="V29" i="38"/>
  <c r="V25" i="38"/>
  <c r="T18" i="38"/>
  <c r="V15" i="38"/>
  <c r="V22" i="38"/>
  <c r="V20" i="38"/>
  <c r="V16" i="38"/>
  <c r="Z12" i="38"/>
  <c r="V34" i="38"/>
  <c r="V31" i="38"/>
  <c r="V27" i="38"/>
  <c r="V24" i="38"/>
  <c r="Z28" i="39"/>
  <c r="X28" i="39"/>
  <c r="N86" i="39"/>
  <c r="L86" i="39"/>
  <c r="J16" i="26"/>
  <c r="F22" i="26"/>
  <c r="V22" i="26"/>
  <c r="R15" i="27"/>
  <c r="P18" i="27"/>
  <c r="R25" i="27"/>
  <c r="J27" i="27"/>
  <c r="R29" i="27"/>
  <c r="J31" i="27"/>
  <c r="R33" i="27"/>
  <c r="J34" i="27"/>
  <c r="R36" i="27"/>
  <c r="V23" i="28"/>
  <c r="J27" i="28"/>
  <c r="V31" i="28"/>
  <c r="J35" i="28"/>
  <c r="V43" i="28"/>
  <c r="J47" i="28"/>
  <c r="V51" i="28"/>
  <c r="J53" i="28"/>
  <c r="V55" i="28"/>
  <c r="J59" i="28"/>
  <c r="V63" i="28"/>
  <c r="J67" i="28"/>
  <c r="V71" i="28"/>
  <c r="J75" i="28"/>
  <c r="V79" i="28"/>
  <c r="V83" i="28"/>
  <c r="J87" i="28"/>
  <c r="V91" i="28"/>
  <c r="J93" i="28"/>
  <c r="V95" i="28"/>
  <c r="J97" i="28"/>
  <c r="V99" i="28"/>
  <c r="V107" i="28"/>
  <c r="J109" i="28"/>
  <c r="J115" i="28"/>
  <c r="J119" i="28"/>
  <c r="R15" i="29"/>
  <c r="P18" i="29"/>
  <c r="R25" i="29"/>
  <c r="J27" i="29"/>
  <c r="R29" i="29"/>
  <c r="J31" i="29"/>
  <c r="R33" i="29"/>
  <c r="J34" i="29"/>
  <c r="R36" i="29"/>
  <c r="Z12" i="30"/>
  <c r="F16" i="30"/>
  <c r="V16" i="30"/>
  <c r="R22" i="30"/>
  <c r="V26" i="31"/>
  <c r="V34" i="31"/>
  <c r="V38" i="31"/>
  <c r="V46" i="31"/>
  <c r="V54" i="31"/>
  <c r="V72" i="31"/>
  <c r="J15" i="32"/>
  <c r="H18" i="32"/>
  <c r="F21" i="32"/>
  <c r="V21" i="32"/>
  <c r="J25" i="32"/>
  <c r="R27" i="32"/>
  <c r="J29" i="32"/>
  <c r="R31" i="32"/>
  <c r="J33" i="32"/>
  <c r="N12" i="33"/>
  <c r="J22" i="33"/>
  <c r="R24" i="33"/>
  <c r="J22" i="34"/>
  <c r="J30" i="34"/>
  <c r="J38" i="34"/>
  <c r="J50" i="34"/>
  <c r="J62" i="34"/>
  <c r="J72" i="34"/>
  <c r="J78" i="34"/>
  <c r="J91" i="34"/>
  <c r="J100" i="34"/>
  <c r="Z107" i="34"/>
  <c r="N111" i="36"/>
  <c r="F117" i="36"/>
  <c r="H27" i="38"/>
  <c r="N18" i="38"/>
  <c r="J27" i="39"/>
  <c r="D87" i="25"/>
  <c r="L87" i="25" s="1"/>
  <c r="N87" i="25" s="1"/>
  <c r="L12" i="26"/>
  <c r="F15" i="26"/>
  <c r="D18" i="26"/>
  <c r="T18" i="26"/>
  <c r="F25" i="26"/>
  <c r="V25" i="26"/>
  <c r="F29" i="26"/>
  <c r="V29" i="26"/>
  <c r="F33" i="26"/>
  <c r="V33" i="26"/>
  <c r="J16" i="27"/>
  <c r="J20" i="28"/>
  <c r="V24" i="28"/>
  <c r="J28" i="28"/>
  <c r="V32" i="28"/>
  <c r="J36" i="28"/>
  <c r="V44" i="28"/>
  <c r="J48" i="28"/>
  <c r="V52" i="28"/>
  <c r="V56" i="28"/>
  <c r="J60" i="28"/>
  <c r="V68" i="28"/>
  <c r="J70" i="28"/>
  <c r="V76" i="28"/>
  <c r="V80" i="28"/>
  <c r="J82" i="28"/>
  <c r="V88" i="28"/>
  <c r="J90" i="28"/>
  <c r="V92" i="28"/>
  <c r="V96" i="28"/>
  <c r="J104" i="28"/>
  <c r="V108" i="28"/>
  <c r="J112" i="28"/>
  <c r="V116" i="28"/>
  <c r="J16" i="29"/>
  <c r="R25" i="30"/>
  <c r="R29" i="30"/>
  <c r="R33" i="30"/>
  <c r="V27" i="31"/>
  <c r="V35" i="31"/>
  <c r="V39" i="31"/>
  <c r="V51" i="31"/>
  <c r="J15" i="33"/>
  <c r="H18" i="33"/>
  <c r="J25" i="33"/>
  <c r="R27" i="33"/>
  <c r="J29" i="33"/>
  <c r="R31" i="33"/>
  <c r="J33" i="33"/>
  <c r="J23" i="34"/>
  <c r="J31" i="34"/>
  <c r="J39" i="34"/>
  <c r="J45" i="34"/>
  <c r="J51" i="34"/>
  <c r="J63" i="34"/>
  <c r="J67" i="34"/>
  <c r="J85" i="34"/>
  <c r="J88" i="34"/>
  <c r="J98" i="34"/>
  <c r="J117" i="34"/>
  <c r="L125" i="34"/>
  <c r="D124" i="34"/>
  <c r="L124" i="34" s="1"/>
  <c r="P12" i="36"/>
  <c r="X15" i="36"/>
  <c r="V27" i="36"/>
  <c r="Z70" i="36"/>
  <c r="F100" i="36"/>
  <c r="V118" i="39"/>
  <c r="V110" i="39"/>
  <c r="V100" i="39"/>
  <c r="V96" i="39"/>
  <c r="V88" i="39"/>
  <c r="V80" i="39"/>
  <c r="V72" i="39"/>
  <c r="V64" i="39"/>
  <c r="V52" i="39"/>
  <c r="V44" i="39"/>
  <c r="V32" i="39"/>
  <c r="V103" i="39"/>
  <c r="V99" i="39"/>
  <c r="V95" i="39"/>
  <c r="V67" i="39"/>
  <c r="V63" i="39"/>
  <c r="V55" i="39"/>
  <c r="V43" i="39"/>
  <c r="V31" i="39"/>
  <c r="V27" i="39"/>
  <c r="V112" i="39"/>
  <c r="V106" i="39"/>
  <c r="V102" i="39"/>
  <c r="V94" i="39"/>
  <c r="V66" i="39"/>
  <c r="V105" i="39"/>
  <c r="V93" i="39"/>
  <c r="V85" i="39"/>
  <c r="V69" i="39"/>
  <c r="V114" i="39"/>
  <c r="V108" i="39"/>
  <c r="V104" i="39"/>
  <c r="V92" i="39"/>
  <c r="V84" i="39"/>
  <c r="V76" i="39"/>
  <c r="V68" i="39"/>
  <c r="V60" i="39"/>
  <c r="V56" i="39"/>
  <c r="V48" i="39"/>
  <c r="V40" i="39"/>
  <c r="V36" i="39"/>
  <c r="V28" i="39"/>
  <c r="V98" i="39"/>
  <c r="V90" i="39"/>
  <c r="V86" i="39"/>
  <c r="V82" i="39"/>
  <c r="V78" i="39"/>
  <c r="V74" i="39"/>
  <c r="V70" i="39"/>
  <c r="V62" i="39"/>
  <c r="V50" i="39"/>
  <c r="V46" i="39"/>
  <c r="V34" i="39"/>
  <c r="V113" i="39"/>
  <c r="V101" i="39"/>
  <c r="V97" i="39"/>
  <c r="V89" i="39"/>
  <c r="V81" i="39"/>
  <c r="V77" i="39"/>
  <c r="V73" i="39"/>
  <c r="V65" i="39"/>
  <c r="V61" i="39"/>
  <c r="V53" i="39"/>
  <c r="V45" i="39"/>
  <c r="V33" i="39"/>
  <c r="V75" i="39"/>
  <c r="V21" i="39"/>
  <c r="V87" i="39"/>
  <c r="V41" i="39"/>
  <c r="V29" i="39"/>
  <c r="V20" i="39"/>
  <c r="V51" i="39"/>
  <c r="V49" i="39"/>
  <c r="V42" i="39"/>
  <c r="V37" i="39"/>
  <c r="V57" i="39"/>
  <c r="V39" i="39"/>
  <c r="V30" i="39"/>
  <c r="V107" i="39"/>
  <c r="V83" i="39"/>
  <c r="V71" i="39"/>
  <c r="T25" i="39"/>
  <c r="V91" i="39"/>
  <c r="V59" i="39"/>
  <c r="V54" i="39"/>
  <c r="V38" i="39"/>
  <c r="V23" i="39"/>
  <c r="X27" i="39"/>
  <c r="Z27" i="39" s="1"/>
  <c r="V79" i="39"/>
  <c r="N12" i="35"/>
  <c r="F18" i="35"/>
  <c r="V18" i="35"/>
  <c r="J22" i="35"/>
  <c r="R24" i="35"/>
  <c r="N12" i="36"/>
  <c r="V20" i="36"/>
  <c r="H25" i="36"/>
  <c r="V32" i="36"/>
  <c r="J36" i="36"/>
  <c r="J40" i="36"/>
  <c r="V44" i="36"/>
  <c r="J48" i="36"/>
  <c r="V52" i="36"/>
  <c r="J54" i="36"/>
  <c r="J60" i="36"/>
  <c r="V64" i="36"/>
  <c r="V72" i="36"/>
  <c r="J74" i="36"/>
  <c r="V80" i="36"/>
  <c r="J84" i="36"/>
  <c r="V88" i="36"/>
  <c r="V96" i="36"/>
  <c r="J100" i="36"/>
  <c r="J104" i="36"/>
  <c r="V108" i="36"/>
  <c r="V112" i="36"/>
  <c r="J117" i="36"/>
  <c r="V118" i="36"/>
  <c r="J122" i="36"/>
  <c r="Z12" i="37"/>
  <c r="F16" i="37"/>
  <c r="V16" i="37"/>
  <c r="F20" i="37"/>
  <c r="V20" i="37"/>
  <c r="R22" i="37"/>
  <c r="J24" i="37"/>
  <c r="X12" i="38"/>
  <c r="N15" i="38"/>
  <c r="F27" i="38"/>
  <c r="F31" i="38"/>
  <c r="F34" i="38"/>
  <c r="N66" i="39"/>
  <c r="J103" i="39"/>
  <c r="X104" i="39"/>
  <c r="Z104" i="39" s="1"/>
  <c r="Z13" i="40"/>
  <c r="X13" i="40"/>
  <c r="V115" i="42"/>
  <c r="V107" i="42"/>
  <c r="V97" i="42"/>
  <c r="V93" i="42"/>
  <c r="V85" i="42"/>
  <c r="V77" i="42"/>
  <c r="V65" i="42"/>
  <c r="V61" i="42"/>
  <c r="V53" i="42"/>
  <c r="V41" i="42"/>
  <c r="V29" i="42"/>
  <c r="T24" i="42"/>
  <c r="V100" i="42"/>
  <c r="V96" i="42"/>
  <c r="V92" i="42"/>
  <c r="V64" i="42"/>
  <c r="V56" i="42"/>
  <c r="V52" i="42"/>
  <c r="V40" i="42"/>
  <c r="V36" i="42"/>
  <c r="V28" i="42"/>
  <c r="V109" i="42"/>
  <c r="V103" i="42"/>
  <c r="V99" i="42"/>
  <c r="V91" i="42"/>
  <c r="V67" i="42"/>
  <c r="V55" i="42"/>
  <c r="V47" i="42"/>
  <c r="V39" i="42"/>
  <c r="V35" i="42"/>
  <c r="V27" i="42"/>
  <c r="V102" i="42"/>
  <c r="V90" i="42"/>
  <c r="V82" i="42"/>
  <c r="V74" i="42"/>
  <c r="V66" i="42"/>
  <c r="V58" i="42"/>
  <c r="V54" i="42"/>
  <c r="V46" i="42"/>
  <c r="V38" i="42"/>
  <c r="V34" i="42"/>
  <c r="V22" i="42"/>
  <c r="V111" i="42"/>
  <c r="V105" i="42"/>
  <c r="V101" i="42"/>
  <c r="V89" i="42"/>
  <c r="V81" i="42"/>
  <c r="V73" i="42"/>
  <c r="V69" i="42"/>
  <c r="V57" i="42"/>
  <c r="V49" i="42"/>
  <c r="V45" i="42"/>
  <c r="V37" i="42"/>
  <c r="V33" i="42"/>
  <c r="V21" i="42"/>
  <c r="V95" i="42"/>
  <c r="V87" i="42"/>
  <c r="V83" i="42"/>
  <c r="V79" i="42"/>
  <c r="V75" i="42"/>
  <c r="V71" i="42"/>
  <c r="V63" i="42"/>
  <c r="V59" i="42"/>
  <c r="V51" i="42"/>
  <c r="V43" i="42"/>
  <c r="V31" i="42"/>
  <c r="V19" i="42"/>
  <c r="V110" i="42"/>
  <c r="V98" i="42"/>
  <c r="V94" i="42"/>
  <c r="V86" i="42"/>
  <c r="V78" i="42"/>
  <c r="V70" i="42"/>
  <c r="V62" i="42"/>
  <c r="V50" i="42"/>
  <c r="V42" i="42"/>
  <c r="V30" i="42"/>
  <c r="V26" i="42"/>
  <c r="R110" i="42"/>
  <c r="R98" i="42"/>
  <c r="R94" i="42"/>
  <c r="R86" i="42"/>
  <c r="R83" i="42"/>
  <c r="R78" i="42"/>
  <c r="R75" i="42"/>
  <c r="R62" i="42"/>
  <c r="R59" i="42"/>
  <c r="R42" i="42"/>
  <c r="R30" i="42"/>
  <c r="R19" i="42"/>
  <c r="R115" i="42"/>
  <c r="R97" i="42"/>
  <c r="R93" i="42"/>
  <c r="R70" i="42"/>
  <c r="R65" i="42"/>
  <c r="R53" i="42"/>
  <c r="R50" i="42"/>
  <c r="R41" i="42"/>
  <c r="R29" i="42"/>
  <c r="R24" i="42"/>
  <c r="R100" i="42"/>
  <c r="R92" i="42"/>
  <c r="R85" i="42"/>
  <c r="R77" i="42"/>
  <c r="R61" i="42"/>
  <c r="R56" i="42"/>
  <c r="R40" i="42"/>
  <c r="R36" i="42"/>
  <c r="R28" i="42"/>
  <c r="R26" i="42"/>
  <c r="P24" i="42"/>
  <c r="R109" i="42"/>
  <c r="R103" i="42"/>
  <c r="R96" i="42"/>
  <c r="R91" i="42"/>
  <c r="R67" i="42"/>
  <c r="R64" i="42"/>
  <c r="R55" i="42"/>
  <c r="R52" i="42"/>
  <c r="R47" i="42"/>
  <c r="R39" i="42"/>
  <c r="R35" i="42"/>
  <c r="R102" i="42"/>
  <c r="R99" i="42"/>
  <c r="R90" i="42"/>
  <c r="R82" i="42"/>
  <c r="R74" i="42"/>
  <c r="R58" i="42"/>
  <c r="R46" i="42"/>
  <c r="R38" i="42"/>
  <c r="R34" i="42"/>
  <c r="R27" i="42"/>
  <c r="R22" i="42"/>
  <c r="X12" i="42"/>
  <c r="Z12" i="42" s="1"/>
  <c r="R108" i="42"/>
  <c r="R101" i="42"/>
  <c r="R88" i="42"/>
  <c r="R84" i="42"/>
  <c r="R80" i="42"/>
  <c r="R76" i="42"/>
  <c r="R72" i="42"/>
  <c r="R60" i="42"/>
  <c r="R57" i="42"/>
  <c r="R44" i="42"/>
  <c r="R37" i="42"/>
  <c r="R32" i="42"/>
  <c r="R20" i="42"/>
  <c r="R104" i="42"/>
  <c r="R95" i="42"/>
  <c r="R87" i="42"/>
  <c r="R79" i="42"/>
  <c r="R71" i="42"/>
  <c r="R68" i="42"/>
  <c r="R63" i="42"/>
  <c r="R51" i="42"/>
  <c r="R48" i="42"/>
  <c r="R43" i="42"/>
  <c r="R31" i="42"/>
  <c r="V48" i="42"/>
  <c r="N83" i="42"/>
  <c r="L83" i="42"/>
  <c r="R89" i="42"/>
  <c r="R19" i="45"/>
  <c r="R31" i="45"/>
  <c r="Z50" i="45"/>
  <c r="V36" i="50"/>
  <c r="V33" i="50"/>
  <c r="V29" i="50"/>
  <c r="V25" i="50"/>
  <c r="T18" i="50"/>
  <c r="V15" i="50"/>
  <c r="V22" i="50"/>
  <c r="V20" i="50"/>
  <c r="V16" i="50"/>
  <c r="Z12" i="50"/>
  <c r="V34" i="50"/>
  <c r="V31" i="50"/>
  <c r="V27" i="50"/>
  <c r="X12" i="50"/>
  <c r="V21" i="50"/>
  <c r="V18" i="50"/>
  <c r="V24" i="50"/>
  <c r="J15" i="35"/>
  <c r="H18" i="35"/>
  <c r="F21" i="35"/>
  <c r="J25" i="35"/>
  <c r="R27" i="35"/>
  <c r="J29" i="35"/>
  <c r="R31" i="35"/>
  <c r="J33" i="35"/>
  <c r="R34" i="35"/>
  <c r="J36" i="35"/>
  <c r="J29" i="36"/>
  <c r="J37" i="36"/>
  <c r="J41" i="36"/>
  <c r="V45" i="36"/>
  <c r="J49" i="36"/>
  <c r="V53" i="36"/>
  <c r="J57" i="36"/>
  <c r="V61" i="36"/>
  <c r="J63" i="36"/>
  <c r="J69" i="36"/>
  <c r="V73" i="36"/>
  <c r="J77" i="36"/>
  <c r="J85" i="36"/>
  <c r="J93" i="36"/>
  <c r="V97" i="36"/>
  <c r="J101" i="36"/>
  <c r="J105" i="36"/>
  <c r="V109" i="36"/>
  <c r="J111" i="36"/>
  <c r="R25" i="37"/>
  <c r="R29" i="37"/>
  <c r="R33" i="37"/>
  <c r="R36" i="37"/>
  <c r="J46" i="39"/>
  <c r="L50" i="39"/>
  <c r="N56" i="39"/>
  <c r="Z72" i="39"/>
  <c r="J77" i="39"/>
  <c r="Z34" i="41"/>
  <c r="X34" i="41"/>
  <c r="D12" i="42"/>
  <c r="L17" i="42"/>
  <c r="R33" i="42"/>
  <c r="V72" i="42"/>
  <c r="R105" i="42"/>
  <c r="V42" i="45"/>
  <c r="V50" i="45"/>
  <c r="N68" i="45"/>
  <c r="V74" i="45"/>
  <c r="V82" i="45"/>
  <c r="Z15" i="46"/>
  <c r="X15" i="46"/>
  <c r="T18" i="46"/>
  <c r="Z33" i="46"/>
  <c r="X33" i="46"/>
  <c r="F24" i="47"/>
  <c r="F21" i="47"/>
  <c r="F18" i="47"/>
  <c r="F36" i="47"/>
  <c r="F33" i="47"/>
  <c r="F29" i="47"/>
  <c r="F25" i="47"/>
  <c r="D18" i="47"/>
  <c r="F15" i="47"/>
  <c r="L12" i="47"/>
  <c r="F22" i="47"/>
  <c r="F20" i="47"/>
  <c r="F16" i="47"/>
  <c r="F34" i="47"/>
  <c r="F31" i="47"/>
  <c r="F27" i="47"/>
  <c r="N20" i="47"/>
  <c r="L20" i="47"/>
  <c r="F70" i="48"/>
  <c r="F61" i="48"/>
  <c r="F57" i="48"/>
  <c r="F54" i="48"/>
  <c r="F38" i="48"/>
  <c r="F26" i="48"/>
  <c r="F48" i="48"/>
  <c r="F45" i="48"/>
  <c r="F37" i="48"/>
  <c r="F25" i="48"/>
  <c r="F20" i="48"/>
  <c r="F19" i="48"/>
  <c r="F73" i="48"/>
  <c r="F67" i="48"/>
  <c r="F63" i="48"/>
  <c r="F60" i="48"/>
  <c r="F56" i="48"/>
  <c r="F51" i="48"/>
  <c r="F36" i="48"/>
  <c r="F31" i="48"/>
  <c r="F24" i="48"/>
  <c r="F59" i="48"/>
  <c r="F47" i="48"/>
  <c r="F42" i="48"/>
  <c r="F35" i="48"/>
  <c r="F23" i="48"/>
  <c r="F69" i="48"/>
  <c r="F66" i="48"/>
  <c r="F62" i="48"/>
  <c r="F58" i="48"/>
  <c r="F53" i="48"/>
  <c r="F50" i="48"/>
  <c r="F34" i="48"/>
  <c r="F30" i="48"/>
  <c r="F22" i="48"/>
  <c r="F68" i="48"/>
  <c r="F64" i="48"/>
  <c r="F55" i="48"/>
  <c r="F52" i="48"/>
  <c r="F40" i="48"/>
  <c r="F32" i="48"/>
  <c r="F28" i="48"/>
  <c r="F46" i="48"/>
  <c r="F43" i="48"/>
  <c r="F39" i="48"/>
  <c r="F27" i="48"/>
  <c r="F33" i="48"/>
  <c r="F44" i="48"/>
  <c r="F41" i="48"/>
  <c r="F17" i="48"/>
  <c r="F77" i="48"/>
  <c r="F21" i="48"/>
  <c r="D17" i="48"/>
  <c r="L12" i="48"/>
  <c r="N12" i="48" s="1"/>
  <c r="F49" i="48"/>
  <c r="R16" i="35"/>
  <c r="J18" i="35"/>
  <c r="R20" i="35"/>
  <c r="F24" i="35"/>
  <c r="V24" i="35"/>
  <c r="J20" i="36"/>
  <c r="V22" i="36"/>
  <c r="J30" i="36"/>
  <c r="V34" i="36"/>
  <c r="J38" i="36"/>
  <c r="J42" i="36"/>
  <c r="V46" i="36"/>
  <c r="V50" i="36"/>
  <c r="J52" i="36"/>
  <c r="J58" i="36"/>
  <c r="V62" i="36"/>
  <c r="J66" i="36"/>
  <c r="V70" i="36"/>
  <c r="J72" i="36"/>
  <c r="J78" i="36"/>
  <c r="J82" i="36"/>
  <c r="J86" i="36"/>
  <c r="J90" i="36"/>
  <c r="J94" i="36"/>
  <c r="V98" i="36"/>
  <c r="J102" i="36"/>
  <c r="V106" i="36"/>
  <c r="J108" i="36"/>
  <c r="V110" i="36"/>
  <c r="J115" i="36"/>
  <c r="V116" i="36"/>
  <c r="J16" i="37"/>
  <c r="R18" i="37"/>
  <c r="J20" i="37"/>
  <c r="F22" i="37"/>
  <c r="V22" i="37"/>
  <c r="R15" i="38"/>
  <c r="P18" i="38"/>
  <c r="R25" i="38"/>
  <c r="J27" i="38"/>
  <c r="R29" i="38"/>
  <c r="J31" i="38"/>
  <c r="R33" i="38"/>
  <c r="J34" i="38"/>
  <c r="R36" i="38"/>
  <c r="D12" i="39"/>
  <c r="J45" i="39"/>
  <c r="J55" i="39"/>
  <c r="J56" i="39"/>
  <c r="V80" i="42"/>
  <c r="V88" i="42"/>
  <c r="N25" i="45"/>
  <c r="V30" i="45"/>
  <c r="R59" i="45"/>
  <c r="R71" i="45"/>
  <c r="J21" i="35"/>
  <c r="F31" i="35"/>
  <c r="F34" i="35"/>
  <c r="J31" i="36"/>
  <c r="V35" i="36"/>
  <c r="V39" i="36"/>
  <c r="J43" i="36"/>
  <c r="V47" i="36"/>
  <c r="V51" i="36"/>
  <c r="J55" i="36"/>
  <c r="V59" i="36"/>
  <c r="J61" i="36"/>
  <c r="J67" i="36"/>
  <c r="V71" i="36"/>
  <c r="J75" i="36"/>
  <c r="J79" i="36"/>
  <c r="V83" i="36"/>
  <c r="J87" i="36"/>
  <c r="J91" i="36"/>
  <c r="J95" i="36"/>
  <c r="V99" i="36"/>
  <c r="V103" i="36"/>
  <c r="V107" i="36"/>
  <c r="D114" i="36"/>
  <c r="L114" i="36" s="1"/>
  <c r="N114" i="36" s="1"/>
  <c r="J118" i="36"/>
  <c r="L12" i="37"/>
  <c r="F15" i="37"/>
  <c r="V15" i="37"/>
  <c r="D18" i="37"/>
  <c r="T18" i="37"/>
  <c r="R21" i="37"/>
  <c r="F25" i="37"/>
  <c r="V25" i="37"/>
  <c r="F29" i="37"/>
  <c r="V29" i="37"/>
  <c r="F33" i="37"/>
  <c r="V33" i="37"/>
  <c r="F36" i="37"/>
  <c r="V36" i="37"/>
  <c r="J16" i="38"/>
  <c r="R18" i="38"/>
  <c r="J20" i="38"/>
  <c r="F22" i="38"/>
  <c r="J108" i="39"/>
  <c r="J102" i="39"/>
  <c r="J92" i="39"/>
  <c r="J84" i="39"/>
  <c r="J76" i="39"/>
  <c r="J66" i="39"/>
  <c r="J60" i="39"/>
  <c r="J54" i="39"/>
  <c r="J48" i="39"/>
  <c r="J40" i="39"/>
  <c r="J36" i="39"/>
  <c r="J114" i="39"/>
  <c r="J91" i="39"/>
  <c r="J87" i="39"/>
  <c r="J83" i="39"/>
  <c r="J79" i="39"/>
  <c r="J75" i="39"/>
  <c r="J71" i="39"/>
  <c r="J51" i="39"/>
  <c r="J47" i="39"/>
  <c r="J35" i="39"/>
  <c r="J111" i="39"/>
  <c r="J104" i="39"/>
  <c r="J98" i="39"/>
  <c r="J90" i="39"/>
  <c r="J82" i="39"/>
  <c r="J78" i="39"/>
  <c r="J74" i="39"/>
  <c r="J68" i="39"/>
  <c r="J107" i="39"/>
  <c r="J101" i="39"/>
  <c r="J97" i="39"/>
  <c r="J89" i="39"/>
  <c r="J81" i="39"/>
  <c r="J73" i="39"/>
  <c r="J65" i="39"/>
  <c r="J59" i="39"/>
  <c r="J118" i="39"/>
  <c r="J113" i="39"/>
  <c r="J100" i="39"/>
  <c r="J96" i="39"/>
  <c r="J86" i="39"/>
  <c r="J70" i="39"/>
  <c r="J64" i="39"/>
  <c r="J50" i="39"/>
  <c r="J44" i="39"/>
  <c r="J32" i="39"/>
  <c r="J110" i="39"/>
  <c r="J106" i="39"/>
  <c r="J94" i="39"/>
  <c r="J88" i="39"/>
  <c r="J80" i="39"/>
  <c r="J72" i="39"/>
  <c r="J58" i="39"/>
  <c r="J52" i="39"/>
  <c r="J42" i="39"/>
  <c r="J38" i="39"/>
  <c r="J30" i="39"/>
  <c r="J112" i="39"/>
  <c r="J105" i="39"/>
  <c r="J99" i="39"/>
  <c r="J93" i="39"/>
  <c r="J85" i="39"/>
  <c r="J69" i="39"/>
  <c r="J63" i="39"/>
  <c r="J57" i="39"/>
  <c r="J49" i="39"/>
  <c r="J41" i="39"/>
  <c r="J37" i="39"/>
  <c r="J29" i="39"/>
  <c r="J22" i="39"/>
  <c r="L27" i="39"/>
  <c r="N27" i="39" s="1"/>
  <c r="L28" i="39"/>
  <c r="J62" i="39"/>
  <c r="Z63" i="39"/>
  <c r="L70" i="39"/>
  <c r="N70" i="39" s="1"/>
  <c r="Z16" i="40"/>
  <c r="X16" i="40"/>
  <c r="R21" i="42"/>
  <c r="R45" i="42"/>
  <c r="R54" i="42"/>
  <c r="V60" i="42"/>
  <c r="N85" i="42"/>
  <c r="V108" i="42"/>
  <c r="L24" i="43"/>
  <c r="Z18" i="45"/>
  <c r="R48" i="45"/>
  <c r="N52" i="45"/>
  <c r="R64" i="45"/>
  <c r="R92" i="45"/>
  <c r="R95" i="45"/>
  <c r="Z29" i="46"/>
  <c r="X29" i="46"/>
  <c r="F15" i="48"/>
  <c r="X13" i="35"/>
  <c r="F16" i="35"/>
  <c r="V16" i="35"/>
  <c r="R22" i="35"/>
  <c r="J24" i="35"/>
  <c r="V28" i="36"/>
  <c r="J32" i="36"/>
  <c r="V36" i="36"/>
  <c r="V40" i="36"/>
  <c r="J44" i="36"/>
  <c r="V48" i="36"/>
  <c r="J50" i="36"/>
  <c r="V56" i="36"/>
  <c r="V60" i="36"/>
  <c r="J64" i="36"/>
  <c r="V68" i="36"/>
  <c r="J70" i="36"/>
  <c r="V76" i="36"/>
  <c r="J80" i="36"/>
  <c r="V84" i="36"/>
  <c r="J88" i="36"/>
  <c r="V92" i="36"/>
  <c r="J96" i="36"/>
  <c r="V100" i="36"/>
  <c r="V104" i="36"/>
  <c r="J106" i="36"/>
  <c r="J112" i="36"/>
  <c r="V114" i="36"/>
  <c r="V122" i="36"/>
  <c r="N12" i="37"/>
  <c r="F18" i="37"/>
  <c r="V18" i="37"/>
  <c r="J22" i="37"/>
  <c r="R24" i="37"/>
  <c r="L12" i="38"/>
  <c r="F15" i="38"/>
  <c r="D18" i="38"/>
  <c r="R21" i="38"/>
  <c r="F25" i="38"/>
  <c r="F29" i="38"/>
  <c r="F33" i="38"/>
  <c r="F36" i="38"/>
  <c r="N28" i="39"/>
  <c r="Z52" i="39"/>
  <c r="J61" i="39"/>
  <c r="J67" i="39"/>
  <c r="Z68" i="39"/>
  <c r="X68" i="39"/>
  <c r="Z20" i="40"/>
  <c r="X20" i="40"/>
  <c r="V36" i="41"/>
  <c r="V33" i="41"/>
  <c r="V29" i="41"/>
  <c r="V25" i="41"/>
  <c r="T18" i="41"/>
  <c r="X18" i="41" s="1"/>
  <c r="V15" i="41"/>
  <c r="V22" i="41"/>
  <c r="V20" i="41"/>
  <c r="V16" i="41"/>
  <c r="Z12" i="41"/>
  <c r="V34" i="41"/>
  <c r="V31" i="41"/>
  <c r="V27" i="41"/>
  <c r="X12" i="41"/>
  <c r="V21" i="41"/>
  <c r="V18" i="41"/>
  <c r="V20" i="42"/>
  <c r="V32" i="42"/>
  <c r="V68" i="42"/>
  <c r="N77" i="42"/>
  <c r="X101" i="42"/>
  <c r="Z101" i="42" s="1"/>
  <c r="V18" i="45"/>
  <c r="Z64" i="45"/>
  <c r="N66" i="45"/>
  <c r="V70" i="45"/>
  <c r="Z92" i="45"/>
  <c r="J21" i="46"/>
  <c r="J18" i="46"/>
  <c r="J36" i="46"/>
  <c r="J33" i="46"/>
  <c r="J29" i="46"/>
  <c r="J25" i="46"/>
  <c r="H18" i="46"/>
  <c r="J15" i="46"/>
  <c r="J22" i="46"/>
  <c r="N12" i="46"/>
  <c r="J34" i="46"/>
  <c r="J31" i="46"/>
  <c r="J27" i="46"/>
  <c r="J24" i="46"/>
  <c r="Z22" i="47"/>
  <c r="X22" i="47"/>
  <c r="R15" i="35"/>
  <c r="P18" i="35"/>
  <c r="R25" i="35"/>
  <c r="J27" i="35"/>
  <c r="R29" i="35"/>
  <c r="J31" i="35"/>
  <c r="R33" i="35"/>
  <c r="J34" i="35"/>
  <c r="J21" i="36"/>
  <c r="V29" i="36"/>
  <c r="J33" i="36"/>
  <c r="V37" i="36"/>
  <c r="J39" i="36"/>
  <c r="V41" i="36"/>
  <c r="J45" i="36"/>
  <c r="V49" i="36"/>
  <c r="J53" i="36"/>
  <c r="V57" i="36"/>
  <c r="J59" i="36"/>
  <c r="V65" i="36"/>
  <c r="V69" i="36"/>
  <c r="J73" i="36"/>
  <c r="V77" i="36"/>
  <c r="V81" i="36"/>
  <c r="J83" i="36"/>
  <c r="V85" i="36"/>
  <c r="V89" i="36"/>
  <c r="V93" i="36"/>
  <c r="J97" i="36"/>
  <c r="V101" i="36"/>
  <c r="J103" i="36"/>
  <c r="V105" i="36"/>
  <c r="J109" i="36"/>
  <c r="J116" i="36"/>
  <c r="V117" i="36"/>
  <c r="F21" i="37"/>
  <c r="V21" i="37"/>
  <c r="J25" i="37"/>
  <c r="R27" i="37"/>
  <c r="J29" i="37"/>
  <c r="R31" i="37"/>
  <c r="J33" i="37"/>
  <c r="R34" i="37"/>
  <c r="R24" i="38"/>
  <c r="H116" i="39"/>
  <c r="J28" i="39"/>
  <c r="J31" i="39"/>
  <c r="N39" i="39"/>
  <c r="Z88" i="39"/>
  <c r="L26" i="42"/>
  <c r="N26" i="42" s="1"/>
  <c r="R49" i="42"/>
  <c r="L59" i="42"/>
  <c r="N59" i="42" s="1"/>
  <c r="Z104" i="42"/>
  <c r="R111" i="42"/>
  <c r="Z13" i="43"/>
  <c r="X13" i="43"/>
  <c r="X34" i="44"/>
  <c r="Z25" i="46"/>
  <c r="X25" i="46"/>
  <c r="J16" i="35"/>
  <c r="J22" i="36"/>
  <c r="J28" i="36"/>
  <c r="V30" i="36"/>
  <c r="J34" i="36"/>
  <c r="V38" i="36"/>
  <c r="V42" i="36"/>
  <c r="J46" i="36"/>
  <c r="V54" i="36"/>
  <c r="J56" i="36"/>
  <c r="V58" i="36"/>
  <c r="J62" i="36"/>
  <c r="V66" i="36"/>
  <c r="J68" i="36"/>
  <c r="V74" i="36"/>
  <c r="J76" i="36"/>
  <c r="V78" i="36"/>
  <c r="V82" i="36"/>
  <c r="V86" i="36"/>
  <c r="V90" i="36"/>
  <c r="J92" i="36"/>
  <c r="V94" i="36"/>
  <c r="J98" i="36"/>
  <c r="J110" i="36"/>
  <c r="J114" i="36"/>
  <c r="R16" i="37"/>
  <c r="J25" i="38"/>
  <c r="R27" i="38"/>
  <c r="J29" i="38"/>
  <c r="R31" i="38"/>
  <c r="J33" i="38"/>
  <c r="P12" i="39"/>
  <c r="J25" i="39"/>
  <c r="J53" i="39"/>
  <c r="X54" i="39"/>
  <c r="N24" i="40"/>
  <c r="L24" i="40"/>
  <c r="N21" i="41"/>
  <c r="L21" i="41"/>
  <c r="N19" i="42"/>
  <c r="L19" i="42"/>
  <c r="Z37" i="42"/>
  <c r="X37" i="42"/>
  <c r="V44" i="42"/>
  <c r="X57" i="42"/>
  <c r="Z57" i="42" s="1"/>
  <c r="R66" i="42"/>
  <c r="V84" i="42"/>
  <c r="V104" i="42"/>
  <c r="V36" i="44"/>
  <c r="V33" i="44"/>
  <c r="V29" i="44"/>
  <c r="V25" i="44"/>
  <c r="T18" i="44"/>
  <c r="V15" i="44"/>
  <c r="V22" i="44"/>
  <c r="V20" i="44"/>
  <c r="V16" i="44"/>
  <c r="Z12" i="44"/>
  <c r="V34" i="44"/>
  <c r="V31" i="44"/>
  <c r="V27" i="44"/>
  <c r="V21" i="44"/>
  <c r="V18" i="44"/>
  <c r="V91" i="45"/>
  <c r="V87" i="45"/>
  <c r="V79" i="45"/>
  <c r="V63" i="45"/>
  <c r="V55" i="45"/>
  <c r="V47" i="45"/>
  <c r="V39" i="45"/>
  <c r="V35" i="45"/>
  <c r="V27" i="45"/>
  <c r="V90" i="45"/>
  <c r="V86" i="45"/>
  <c r="V62" i="45"/>
  <c r="V54" i="45"/>
  <c r="V46" i="45"/>
  <c r="V38" i="45"/>
  <c r="V34" i="45"/>
  <c r="V26" i="45"/>
  <c r="V93" i="45"/>
  <c r="V89" i="45"/>
  <c r="V85" i="45"/>
  <c r="V65" i="45"/>
  <c r="V57" i="45"/>
  <c r="V49" i="45"/>
  <c r="V45" i="45"/>
  <c r="V37" i="45"/>
  <c r="V33" i="45"/>
  <c r="V21" i="45"/>
  <c r="V102" i="45"/>
  <c r="V96" i="45"/>
  <c r="V92" i="45"/>
  <c r="V84" i="45"/>
  <c r="V76" i="45"/>
  <c r="V64" i="45"/>
  <c r="V56" i="45"/>
  <c r="V48" i="45"/>
  <c r="V44" i="45"/>
  <c r="V32" i="45"/>
  <c r="V20" i="45"/>
  <c r="V95" i="45"/>
  <c r="V83" i="45"/>
  <c r="V75" i="45"/>
  <c r="V71" i="45"/>
  <c r="V67" i="45"/>
  <c r="V59" i="45"/>
  <c r="V51" i="45"/>
  <c r="V43" i="45"/>
  <c r="V31" i="45"/>
  <c r="V19" i="45"/>
  <c r="V81" i="45"/>
  <c r="V77" i="45"/>
  <c r="V73" i="45"/>
  <c r="V69" i="45"/>
  <c r="V61" i="45"/>
  <c r="V53" i="45"/>
  <c r="V41" i="45"/>
  <c r="V29" i="45"/>
  <c r="V25" i="45"/>
  <c r="V98" i="45"/>
  <c r="V88" i="45"/>
  <c r="V80" i="45"/>
  <c r="V72" i="45"/>
  <c r="V68" i="45"/>
  <c r="V60" i="45"/>
  <c r="V52" i="45"/>
  <c r="V40" i="45"/>
  <c r="V36" i="45"/>
  <c r="V28" i="45"/>
  <c r="T23" i="45"/>
  <c r="V23" i="45" s="1"/>
  <c r="R88" i="45"/>
  <c r="R80" i="45"/>
  <c r="R77" i="45"/>
  <c r="R40" i="45"/>
  <c r="R36" i="45"/>
  <c r="R28" i="45"/>
  <c r="R98" i="45"/>
  <c r="R91" i="45"/>
  <c r="R87" i="45"/>
  <c r="R72" i="45"/>
  <c r="R68" i="45"/>
  <c r="R63" i="45"/>
  <c r="R60" i="45"/>
  <c r="R55" i="45"/>
  <c r="R52" i="45"/>
  <c r="R47" i="45"/>
  <c r="R39" i="45"/>
  <c r="R35" i="45"/>
  <c r="R27" i="45"/>
  <c r="R25" i="45"/>
  <c r="P23" i="45"/>
  <c r="R90" i="45"/>
  <c r="R86" i="45"/>
  <c r="R79" i="45"/>
  <c r="R46" i="45"/>
  <c r="R38" i="45"/>
  <c r="R34" i="45"/>
  <c r="R93" i="45"/>
  <c r="R85" i="45"/>
  <c r="R65" i="45"/>
  <c r="R62" i="45"/>
  <c r="R57" i="45"/>
  <c r="R54" i="45"/>
  <c r="R49" i="45"/>
  <c r="R45" i="45"/>
  <c r="R33" i="45"/>
  <c r="R26" i="45"/>
  <c r="R21" i="45"/>
  <c r="R102" i="45"/>
  <c r="R96" i="45"/>
  <c r="R89" i="45"/>
  <c r="R84" i="45"/>
  <c r="R76" i="45"/>
  <c r="R44" i="45"/>
  <c r="R37" i="45"/>
  <c r="R32" i="45"/>
  <c r="R20" i="45"/>
  <c r="X12" i="45"/>
  <c r="Z12" i="45" s="1"/>
  <c r="R82" i="45"/>
  <c r="R78" i="45"/>
  <c r="R74" i="45"/>
  <c r="R70" i="45"/>
  <c r="R42" i="45"/>
  <c r="R30" i="45"/>
  <c r="R94" i="45"/>
  <c r="R81" i="45"/>
  <c r="R73" i="45"/>
  <c r="R69" i="45"/>
  <c r="R66" i="45"/>
  <c r="R61" i="45"/>
  <c r="R58" i="45"/>
  <c r="R53" i="45"/>
  <c r="R50" i="45"/>
  <c r="R41" i="45"/>
  <c r="R29" i="45"/>
  <c r="R18" i="45"/>
  <c r="R51" i="45"/>
  <c r="V78" i="45"/>
  <c r="R83" i="45"/>
  <c r="N16" i="47"/>
  <c r="L16" i="47"/>
  <c r="Z99" i="39"/>
  <c r="J15" i="40"/>
  <c r="Z15" i="40"/>
  <c r="H18" i="40"/>
  <c r="F21" i="40"/>
  <c r="V21" i="40"/>
  <c r="J25" i="40"/>
  <c r="Z25" i="40"/>
  <c r="R27" i="40"/>
  <c r="J29" i="40"/>
  <c r="Z29" i="40"/>
  <c r="R31" i="40"/>
  <c r="J33" i="40"/>
  <c r="Z33" i="40"/>
  <c r="R34" i="40"/>
  <c r="J36" i="40"/>
  <c r="N12" i="41"/>
  <c r="N16" i="41"/>
  <c r="F18" i="41"/>
  <c r="N20" i="41"/>
  <c r="J22" i="41"/>
  <c r="Z22" i="41"/>
  <c r="R24" i="41"/>
  <c r="P27" i="41"/>
  <c r="X15" i="42"/>
  <c r="J22" i="42"/>
  <c r="J26" i="42"/>
  <c r="J34" i="42"/>
  <c r="J38" i="42"/>
  <c r="J46" i="42"/>
  <c r="J52" i="42"/>
  <c r="Z52" i="42"/>
  <c r="N54" i="42"/>
  <c r="J58" i="42"/>
  <c r="J64" i="42"/>
  <c r="Z64" i="42"/>
  <c r="N66" i="42"/>
  <c r="J74" i="42"/>
  <c r="J82" i="42"/>
  <c r="J90" i="42"/>
  <c r="J96" i="42"/>
  <c r="Z96" i="42"/>
  <c r="J102" i="42"/>
  <c r="J109" i="42"/>
  <c r="J15" i="43"/>
  <c r="Z15" i="43"/>
  <c r="H18" i="43"/>
  <c r="F21" i="43"/>
  <c r="V21" i="43"/>
  <c r="J25" i="43"/>
  <c r="Z25" i="43"/>
  <c r="R27" i="43"/>
  <c r="J29" i="43"/>
  <c r="Z29" i="43"/>
  <c r="R31" i="43"/>
  <c r="J33" i="43"/>
  <c r="Z33" i="43"/>
  <c r="R34" i="43"/>
  <c r="J36" i="43"/>
  <c r="L13" i="44"/>
  <c r="N16" i="44"/>
  <c r="F18" i="44"/>
  <c r="N20" i="44"/>
  <c r="J22" i="44"/>
  <c r="Z22" i="44"/>
  <c r="R24" i="44"/>
  <c r="P27" i="44"/>
  <c r="X15" i="45"/>
  <c r="F21" i="45"/>
  <c r="D23" i="45"/>
  <c r="J26" i="45"/>
  <c r="J32" i="45"/>
  <c r="F33" i="45"/>
  <c r="J44" i="45"/>
  <c r="F45" i="45"/>
  <c r="F49" i="45"/>
  <c r="F52" i="45"/>
  <c r="J54" i="45"/>
  <c r="F57" i="45"/>
  <c r="F60" i="45"/>
  <c r="J62" i="45"/>
  <c r="F65" i="45"/>
  <c r="F68" i="45"/>
  <c r="F72" i="45"/>
  <c r="J76" i="45"/>
  <c r="J84" i="45"/>
  <c r="F85" i="45"/>
  <c r="F93" i="45"/>
  <c r="J96" i="45"/>
  <c r="F98" i="45"/>
  <c r="J102" i="45"/>
  <c r="Z12" i="46"/>
  <c r="F16" i="46"/>
  <c r="V16" i="46"/>
  <c r="F20" i="46"/>
  <c r="V20" i="46"/>
  <c r="R22" i="46"/>
  <c r="X12" i="47"/>
  <c r="J21" i="47"/>
  <c r="V27" i="47"/>
  <c r="V31" i="47"/>
  <c r="V34" i="47"/>
  <c r="X12" i="48"/>
  <c r="Z12" i="48" s="1"/>
  <c r="R15" i="48"/>
  <c r="R25" i="48"/>
  <c r="X20" i="49"/>
  <c r="Z13" i="52"/>
  <c r="X13" i="52"/>
  <c r="N18" i="55"/>
  <c r="L18" i="56"/>
  <c r="N19" i="56"/>
  <c r="Z16" i="57"/>
  <c r="T67" i="57"/>
  <c r="N44" i="57"/>
  <c r="L56" i="57"/>
  <c r="R16" i="40"/>
  <c r="J18" i="40"/>
  <c r="R20" i="40"/>
  <c r="F24" i="40"/>
  <c r="V24" i="40"/>
  <c r="J15" i="41"/>
  <c r="H18" i="41"/>
  <c r="F21" i="41"/>
  <c r="J25" i="41"/>
  <c r="R27" i="41"/>
  <c r="J29" i="41"/>
  <c r="R31" i="41"/>
  <c r="J33" i="41"/>
  <c r="R34" i="41"/>
  <c r="J36" i="41"/>
  <c r="H24" i="42"/>
  <c r="J35" i="42"/>
  <c r="J39" i="42"/>
  <c r="J47" i="42"/>
  <c r="J55" i="42"/>
  <c r="J61" i="42"/>
  <c r="J67" i="42"/>
  <c r="J77" i="42"/>
  <c r="J85" i="42"/>
  <c r="J91" i="42"/>
  <c r="J103" i="42"/>
  <c r="J107" i="42"/>
  <c r="R16" i="43"/>
  <c r="J18" i="43"/>
  <c r="R20" i="43"/>
  <c r="F24" i="43"/>
  <c r="V24" i="43"/>
  <c r="H18" i="44"/>
  <c r="F21" i="44"/>
  <c r="J25" i="44"/>
  <c r="R27" i="44"/>
  <c r="J29" i="44"/>
  <c r="R31" i="44"/>
  <c r="J33" i="44"/>
  <c r="R34" i="44"/>
  <c r="J36" i="44"/>
  <c r="F23" i="45"/>
  <c r="J25" i="45"/>
  <c r="J33" i="45"/>
  <c r="F34" i="45"/>
  <c r="F38" i="45"/>
  <c r="J45" i="45"/>
  <c r="F46" i="45"/>
  <c r="J49" i="45"/>
  <c r="J57" i="45"/>
  <c r="J65" i="45"/>
  <c r="F77" i="45"/>
  <c r="J79" i="45"/>
  <c r="J85" i="45"/>
  <c r="F86" i="45"/>
  <c r="F90" i="45"/>
  <c r="J93" i="45"/>
  <c r="R25" i="46"/>
  <c r="R29" i="46"/>
  <c r="R33" i="46"/>
  <c r="R36" i="46"/>
  <c r="J24" i="47"/>
  <c r="T75" i="48"/>
  <c r="V75" i="48" s="1"/>
  <c r="Z19" i="48"/>
  <c r="Z13" i="49"/>
  <c r="X13" i="49"/>
  <c r="V81" i="51"/>
  <c r="V69" i="51"/>
  <c r="V61" i="51"/>
  <c r="V49" i="51"/>
  <c r="V37" i="51"/>
  <c r="V33" i="51"/>
  <c r="V25" i="51"/>
  <c r="V72" i="51"/>
  <c r="V68" i="51"/>
  <c r="V60" i="51"/>
  <c r="V48" i="51"/>
  <c r="V44" i="51"/>
  <c r="V36" i="51"/>
  <c r="T31" i="51"/>
  <c r="V24" i="51"/>
  <c r="V75" i="51"/>
  <c r="V71" i="51"/>
  <c r="V63" i="51"/>
  <c r="V55" i="51"/>
  <c r="V47" i="51"/>
  <c r="V43" i="51"/>
  <c r="V35" i="51"/>
  <c r="V23" i="51"/>
  <c r="V62" i="51"/>
  <c r="V54" i="51"/>
  <c r="V46" i="51"/>
  <c r="V42" i="51"/>
  <c r="V34" i="51"/>
  <c r="V22" i="51"/>
  <c r="V77" i="51"/>
  <c r="V65" i="51"/>
  <c r="V57" i="51"/>
  <c r="V53" i="51"/>
  <c r="V45" i="51"/>
  <c r="V41" i="51"/>
  <c r="V29" i="51"/>
  <c r="V21" i="51"/>
  <c r="V67" i="51"/>
  <c r="V59" i="51"/>
  <c r="V51" i="51"/>
  <c r="V39" i="51"/>
  <c r="V27" i="51"/>
  <c r="V19" i="51"/>
  <c r="V76" i="51"/>
  <c r="V70" i="51"/>
  <c r="V66" i="51"/>
  <c r="V58" i="51"/>
  <c r="V50" i="51"/>
  <c r="V38" i="51"/>
  <c r="V26" i="51"/>
  <c r="L33" i="51"/>
  <c r="N33" i="51" s="1"/>
  <c r="X20" i="52"/>
  <c r="T22" i="54"/>
  <c r="Z16" i="54"/>
  <c r="N18" i="56"/>
  <c r="L18" i="57"/>
  <c r="X54" i="57"/>
  <c r="Z54" i="57" s="1"/>
  <c r="N56" i="57"/>
  <c r="L18" i="58"/>
  <c r="N18" i="58" s="1"/>
  <c r="Z19" i="58"/>
  <c r="J53" i="58"/>
  <c r="F16" i="40"/>
  <c r="F20" i="40"/>
  <c r="R22" i="40"/>
  <c r="J24" i="40"/>
  <c r="J21" i="41"/>
  <c r="F27" i="41"/>
  <c r="F31" i="41"/>
  <c r="F34" i="41"/>
  <c r="J19" i="42"/>
  <c r="J29" i="42"/>
  <c r="J41" i="42"/>
  <c r="J53" i="42"/>
  <c r="J59" i="42"/>
  <c r="J65" i="42"/>
  <c r="J75" i="42"/>
  <c r="J83" i="42"/>
  <c r="J93" i="42"/>
  <c r="J97" i="42"/>
  <c r="J110" i="42"/>
  <c r="J115" i="42"/>
  <c r="F16" i="43"/>
  <c r="V16" i="43"/>
  <c r="F20" i="43"/>
  <c r="V20" i="43"/>
  <c r="R22" i="43"/>
  <c r="J24" i="43"/>
  <c r="X12" i="44"/>
  <c r="J21" i="44"/>
  <c r="F27" i="44"/>
  <c r="F31" i="44"/>
  <c r="F34" i="44"/>
  <c r="F28" i="45"/>
  <c r="J35" i="45"/>
  <c r="F36" i="45"/>
  <c r="J39" i="45"/>
  <c r="F40" i="45"/>
  <c r="J47" i="45"/>
  <c r="J55" i="45"/>
  <c r="J63" i="45"/>
  <c r="J77" i="45"/>
  <c r="F80" i="45"/>
  <c r="J87" i="45"/>
  <c r="F88" i="45"/>
  <c r="J91" i="45"/>
  <c r="L12" i="46"/>
  <c r="F15" i="46"/>
  <c r="L16" i="46"/>
  <c r="D18" i="46"/>
  <c r="L20" i="46"/>
  <c r="R21" i="46"/>
  <c r="X22" i="46"/>
  <c r="F25" i="46"/>
  <c r="F29" i="46"/>
  <c r="F33" i="46"/>
  <c r="F36" i="46"/>
  <c r="J16" i="47"/>
  <c r="J20" i="47"/>
  <c r="L34" i="47"/>
  <c r="J67" i="48"/>
  <c r="J63" i="48"/>
  <c r="J51" i="48"/>
  <c r="J45" i="48"/>
  <c r="J37" i="48"/>
  <c r="J31" i="48"/>
  <c r="J25" i="48"/>
  <c r="J73" i="48"/>
  <c r="J60" i="48"/>
  <c r="J56" i="48"/>
  <c r="J42" i="48"/>
  <c r="J36" i="48"/>
  <c r="J24" i="48"/>
  <c r="J69" i="48"/>
  <c r="J59" i="48"/>
  <c r="J53" i="48"/>
  <c r="J47" i="48"/>
  <c r="J35" i="48"/>
  <c r="J23" i="48"/>
  <c r="J66" i="48"/>
  <c r="J62" i="48"/>
  <c r="J58" i="48"/>
  <c r="J50" i="48"/>
  <c r="J44" i="48"/>
  <c r="J34" i="48"/>
  <c r="J30" i="48"/>
  <c r="J22" i="48"/>
  <c r="J77" i="48"/>
  <c r="J65" i="48"/>
  <c r="J55" i="48"/>
  <c r="J49" i="48"/>
  <c r="J41" i="48"/>
  <c r="J33" i="48"/>
  <c r="J29" i="48"/>
  <c r="J21" i="48"/>
  <c r="J61" i="48"/>
  <c r="J57" i="48"/>
  <c r="J43" i="48"/>
  <c r="J39" i="48"/>
  <c r="J27" i="48"/>
  <c r="J70" i="48"/>
  <c r="J54" i="48"/>
  <c r="J48" i="48"/>
  <c r="J38" i="48"/>
  <c r="J26" i="48"/>
  <c r="Z63" i="48"/>
  <c r="J68" i="48"/>
  <c r="N45" i="51"/>
  <c r="Z18" i="55"/>
  <c r="N18" i="57"/>
  <c r="J27" i="40"/>
  <c r="J31" i="40"/>
  <c r="J34" i="40"/>
  <c r="F16" i="41"/>
  <c r="F20" i="41"/>
  <c r="J30" i="42"/>
  <c r="J42" i="42"/>
  <c r="J48" i="42"/>
  <c r="J62" i="42"/>
  <c r="J68" i="42"/>
  <c r="J78" i="42"/>
  <c r="J86" i="42"/>
  <c r="J94" i="42"/>
  <c r="J98" i="42"/>
  <c r="J104" i="42"/>
  <c r="P107" i="42"/>
  <c r="X107" i="42" s="1"/>
  <c r="Z107" i="42" s="1"/>
  <c r="R15" i="43"/>
  <c r="P18" i="43"/>
  <c r="R25" i="43"/>
  <c r="J27" i="43"/>
  <c r="R29" i="43"/>
  <c r="J31" i="43"/>
  <c r="R33" i="43"/>
  <c r="J34" i="43"/>
  <c r="R36" i="43"/>
  <c r="F16" i="44"/>
  <c r="F20" i="44"/>
  <c r="R22" i="44"/>
  <c r="J24" i="44"/>
  <c r="J18" i="45"/>
  <c r="J28" i="45"/>
  <c r="F29" i="45"/>
  <c r="J36" i="45"/>
  <c r="J40" i="45"/>
  <c r="F41" i="45"/>
  <c r="F48" i="45"/>
  <c r="J50" i="45"/>
  <c r="F53" i="45"/>
  <c r="F56" i="45"/>
  <c r="J58" i="45"/>
  <c r="F61" i="45"/>
  <c r="F64" i="45"/>
  <c r="J66" i="45"/>
  <c r="F69" i="45"/>
  <c r="F73" i="45"/>
  <c r="J80" i="45"/>
  <c r="F81" i="45"/>
  <c r="J88" i="45"/>
  <c r="F92" i="45"/>
  <c r="J94" i="45"/>
  <c r="F18" i="46"/>
  <c r="R24" i="46"/>
  <c r="J52" i="48"/>
  <c r="Z53" i="48"/>
  <c r="N55" i="48"/>
  <c r="N61" i="48"/>
  <c r="L19" i="51"/>
  <c r="V20" i="51"/>
  <c r="Z34" i="51"/>
  <c r="V40" i="51"/>
  <c r="X45" i="51"/>
  <c r="Z45" i="51" s="1"/>
  <c r="L24" i="52"/>
  <c r="L21" i="53"/>
  <c r="X20" i="54"/>
  <c r="N16" i="55"/>
  <c r="H31" i="55"/>
  <c r="Z18" i="56"/>
  <c r="N29" i="56"/>
  <c r="R59" i="57"/>
  <c r="R56" i="57"/>
  <c r="R47" i="57"/>
  <c r="R44" i="57"/>
  <c r="R39" i="57"/>
  <c r="R31" i="57"/>
  <c r="R27" i="57"/>
  <c r="R71" i="57"/>
  <c r="R65" i="57"/>
  <c r="R38" i="57"/>
  <c r="R30" i="57"/>
  <c r="R26" i="57"/>
  <c r="R19" i="57"/>
  <c r="R61" i="57"/>
  <c r="R58" i="57"/>
  <c r="R53" i="57"/>
  <c r="R49" i="57"/>
  <c r="R46" i="57"/>
  <c r="R41" i="57"/>
  <c r="R37" i="57"/>
  <c r="R25" i="57"/>
  <c r="R14" i="57"/>
  <c r="R52" i="57"/>
  <c r="R36" i="57"/>
  <c r="R29" i="57"/>
  <c r="R24" i="57"/>
  <c r="X12" i="57"/>
  <c r="R69" i="57"/>
  <c r="R63" i="57"/>
  <c r="R60" i="57"/>
  <c r="R55" i="57"/>
  <c r="R51" i="57"/>
  <c r="R48" i="57"/>
  <c r="R43" i="57"/>
  <c r="R40" i="57"/>
  <c r="R35" i="57"/>
  <c r="R23" i="57"/>
  <c r="R62" i="57"/>
  <c r="R57" i="57"/>
  <c r="R54" i="57"/>
  <c r="R50" i="57"/>
  <c r="R45" i="57"/>
  <c r="R42" i="57"/>
  <c r="R33" i="57"/>
  <c r="R21" i="57"/>
  <c r="R16" i="57"/>
  <c r="R32" i="57"/>
  <c r="R28" i="57"/>
  <c r="R20" i="57"/>
  <c r="R18" i="57"/>
  <c r="P16" i="57"/>
  <c r="X18" i="57"/>
  <c r="Z18" i="57" s="1"/>
  <c r="N46" i="57"/>
  <c r="Z18" i="58"/>
  <c r="J16" i="40"/>
  <c r="J20" i="40"/>
  <c r="J71" i="42"/>
  <c r="J79" i="42"/>
  <c r="J87" i="42"/>
  <c r="J95" i="42"/>
  <c r="J101" i="42"/>
  <c r="J108" i="42"/>
  <c r="J16" i="43"/>
  <c r="J20" i="43"/>
  <c r="F30" i="45"/>
  <c r="F37" i="45"/>
  <c r="F42" i="45"/>
  <c r="J69" i="45"/>
  <c r="F70" i="45"/>
  <c r="J73" i="45"/>
  <c r="F74" i="45"/>
  <c r="F78" i="45"/>
  <c r="J81" i="45"/>
  <c r="F82" i="45"/>
  <c r="F89" i="45"/>
  <c r="F21" i="46"/>
  <c r="R27" i="46"/>
  <c r="R31" i="46"/>
  <c r="R34" i="46"/>
  <c r="L13" i="47"/>
  <c r="J22" i="47"/>
  <c r="N19" i="48"/>
  <c r="J28" i="48"/>
  <c r="J64" i="48"/>
  <c r="N19" i="51"/>
  <c r="V36" i="53"/>
  <c r="V33" i="53"/>
  <c r="V29" i="53"/>
  <c r="V25" i="53"/>
  <c r="T18" i="53"/>
  <c r="V15" i="53"/>
  <c r="V22" i="53"/>
  <c r="V20" i="53"/>
  <c r="V16" i="53"/>
  <c r="Z12" i="53"/>
  <c r="V34" i="53"/>
  <c r="V31" i="53"/>
  <c r="V27" i="53"/>
  <c r="X12" i="53"/>
  <c r="V21" i="53"/>
  <c r="V18" i="53"/>
  <c r="R24" i="54"/>
  <c r="R31" i="54"/>
  <c r="R28" i="54"/>
  <c r="R22" i="54"/>
  <c r="R18" i="54"/>
  <c r="R14" i="54"/>
  <c r="X12" i="54"/>
  <c r="R29" i="54"/>
  <c r="R26" i="54"/>
  <c r="R20" i="54"/>
  <c r="R16" i="54"/>
  <c r="P16" i="54"/>
  <c r="D110" i="39"/>
  <c r="L110" i="39" s="1"/>
  <c r="N110" i="39" s="1"/>
  <c r="L12" i="40"/>
  <c r="F15" i="40"/>
  <c r="V15" i="40"/>
  <c r="D18" i="40"/>
  <c r="T18" i="40"/>
  <c r="F25" i="40"/>
  <c r="V25" i="40"/>
  <c r="F29" i="40"/>
  <c r="V29" i="40"/>
  <c r="F33" i="40"/>
  <c r="V33" i="40"/>
  <c r="F36" i="40"/>
  <c r="J16" i="41"/>
  <c r="F22" i="41"/>
  <c r="J20" i="42"/>
  <c r="J32" i="42"/>
  <c r="J44" i="42"/>
  <c r="J54" i="42"/>
  <c r="J60" i="42"/>
  <c r="J66" i="42"/>
  <c r="J72" i="42"/>
  <c r="J76" i="42"/>
  <c r="J80" i="42"/>
  <c r="J84" i="42"/>
  <c r="J88" i="42"/>
  <c r="D107" i="42"/>
  <c r="L107" i="42" s="1"/>
  <c r="N107" i="42" s="1"/>
  <c r="J111" i="42"/>
  <c r="L12" i="43"/>
  <c r="F15" i="43"/>
  <c r="V15" i="43"/>
  <c r="D18" i="43"/>
  <c r="T18" i="43"/>
  <c r="F25" i="43"/>
  <c r="V25" i="43"/>
  <c r="F29" i="43"/>
  <c r="V29" i="43"/>
  <c r="F33" i="43"/>
  <c r="V33" i="43"/>
  <c r="J16" i="44"/>
  <c r="F22" i="44"/>
  <c r="F19" i="45"/>
  <c r="F25" i="45"/>
  <c r="F26" i="45"/>
  <c r="J30" i="45"/>
  <c r="F31" i="45"/>
  <c r="J42" i="45"/>
  <c r="F43" i="45"/>
  <c r="J48" i="45"/>
  <c r="F51" i="45"/>
  <c r="F54" i="45"/>
  <c r="J56" i="45"/>
  <c r="F59" i="45"/>
  <c r="F62" i="45"/>
  <c r="J64" i="45"/>
  <c r="F67" i="45"/>
  <c r="J70" i="45"/>
  <c r="F71" i="45"/>
  <c r="J74" i="45"/>
  <c r="F75" i="45"/>
  <c r="J78" i="45"/>
  <c r="J82" i="45"/>
  <c r="F83" i="45"/>
  <c r="J92" i="45"/>
  <c r="F95" i="45"/>
  <c r="J100" i="45"/>
  <c r="R16" i="46"/>
  <c r="R20" i="46"/>
  <c r="F24" i="46"/>
  <c r="V24" i="46"/>
  <c r="J15" i="47"/>
  <c r="H18" i="47"/>
  <c r="V21" i="47"/>
  <c r="J25" i="47"/>
  <c r="R27" i="47"/>
  <c r="J29" i="47"/>
  <c r="R31" i="47"/>
  <c r="J33" i="47"/>
  <c r="R34" i="47"/>
  <c r="J36" i="47"/>
  <c r="R66" i="48"/>
  <c r="R62" i="48"/>
  <c r="R58" i="48"/>
  <c r="R55" i="48"/>
  <c r="R50" i="48"/>
  <c r="R34" i="48"/>
  <c r="R30" i="48"/>
  <c r="R22" i="48"/>
  <c r="R17" i="48"/>
  <c r="R77" i="48"/>
  <c r="R72" i="48"/>
  <c r="R65" i="48"/>
  <c r="R49" i="48"/>
  <c r="R46" i="48"/>
  <c r="R41" i="48"/>
  <c r="R33" i="48"/>
  <c r="R29" i="48"/>
  <c r="R21" i="48"/>
  <c r="R19" i="48"/>
  <c r="P17" i="48"/>
  <c r="R68" i="48"/>
  <c r="R64" i="48"/>
  <c r="R61" i="48"/>
  <c r="R57" i="48"/>
  <c r="R52" i="48"/>
  <c r="R40" i="48"/>
  <c r="R32" i="48"/>
  <c r="R28" i="48"/>
  <c r="R48" i="48"/>
  <c r="R43" i="48"/>
  <c r="R39" i="48"/>
  <c r="R27" i="48"/>
  <c r="R20" i="48"/>
  <c r="R70" i="48"/>
  <c r="R67" i="48"/>
  <c r="R63" i="48"/>
  <c r="R54" i="48"/>
  <c r="R51" i="48"/>
  <c r="R38" i="48"/>
  <c r="R31" i="48"/>
  <c r="R26" i="48"/>
  <c r="R69" i="48"/>
  <c r="R60" i="48"/>
  <c r="R56" i="48"/>
  <c r="R53" i="48"/>
  <c r="R36" i="48"/>
  <c r="R24" i="48"/>
  <c r="R59" i="48"/>
  <c r="R47" i="48"/>
  <c r="R44" i="48"/>
  <c r="R35" i="48"/>
  <c r="H17" i="48"/>
  <c r="J19" i="48"/>
  <c r="J20" i="48"/>
  <c r="R42" i="48"/>
  <c r="N44" i="48"/>
  <c r="Z55" i="48"/>
  <c r="Z33" i="51"/>
  <c r="D22" i="54"/>
  <c r="Z21" i="55"/>
  <c r="Z50" i="57"/>
  <c r="X62" i="57"/>
  <c r="J79" i="58"/>
  <c r="J73" i="58"/>
  <c r="J63" i="58"/>
  <c r="J47" i="58"/>
  <c r="J70" i="58"/>
  <c r="J56" i="58"/>
  <c r="J52" i="58"/>
  <c r="J44" i="58"/>
  <c r="J84" i="58"/>
  <c r="J77" i="58"/>
  <c r="J67" i="58"/>
  <c r="J59" i="58"/>
  <c r="J55" i="58"/>
  <c r="J49" i="58"/>
  <c r="J41" i="58"/>
  <c r="J72" i="58"/>
  <c r="J66" i="58"/>
  <c r="J62" i="58"/>
  <c r="J58" i="58"/>
  <c r="J54" i="58"/>
  <c r="J46" i="58"/>
  <c r="J64" i="58"/>
  <c r="J48" i="58"/>
  <c r="J40" i="58"/>
  <c r="J68" i="58"/>
  <c r="J31" i="58"/>
  <c r="J27" i="58"/>
  <c r="H16" i="58"/>
  <c r="J39" i="58"/>
  <c r="J26" i="58"/>
  <c r="J18" i="58"/>
  <c r="J69" i="58"/>
  <c r="J57" i="58"/>
  <c r="J51" i="58"/>
  <c r="J38" i="58"/>
  <c r="J37" i="58"/>
  <c r="J25" i="58"/>
  <c r="J19" i="58"/>
  <c r="J65" i="58"/>
  <c r="J43" i="58"/>
  <c r="J36" i="58"/>
  <c r="J30" i="58"/>
  <c r="J24" i="58"/>
  <c r="J14" i="58"/>
  <c r="N12" i="58"/>
  <c r="J81" i="58"/>
  <c r="J75" i="58"/>
  <c r="J50" i="58"/>
  <c r="J42" i="58"/>
  <c r="J35" i="58"/>
  <c r="J23" i="58"/>
  <c r="J60" i="58"/>
  <c r="J71" i="58"/>
  <c r="J61" i="58"/>
  <c r="J45" i="58"/>
  <c r="J33" i="58"/>
  <c r="J29" i="58"/>
  <c r="J21" i="58"/>
  <c r="J32" i="58"/>
  <c r="J28" i="58"/>
  <c r="J20" i="58"/>
  <c r="J16" i="58"/>
  <c r="J22" i="58"/>
  <c r="N12" i="40"/>
  <c r="L12" i="41"/>
  <c r="F15" i="41"/>
  <c r="D18" i="41"/>
  <c r="F25" i="41"/>
  <c r="F29" i="41"/>
  <c r="F33" i="41"/>
  <c r="J27" i="42"/>
  <c r="J33" i="42"/>
  <c r="J45" i="42"/>
  <c r="J49" i="42"/>
  <c r="J69" i="42"/>
  <c r="J73" i="42"/>
  <c r="J81" i="42"/>
  <c r="J89" i="42"/>
  <c r="J99" i="42"/>
  <c r="N12" i="43"/>
  <c r="L12" i="44"/>
  <c r="F15" i="44"/>
  <c r="D18" i="44"/>
  <c r="F25" i="44"/>
  <c r="F29" i="44"/>
  <c r="F33" i="44"/>
  <c r="L12" i="45"/>
  <c r="N12" i="45" s="1"/>
  <c r="F20" i="45"/>
  <c r="F32" i="45"/>
  <c r="F44" i="45"/>
  <c r="F76" i="45"/>
  <c r="F79" i="45"/>
  <c r="J83" i="45"/>
  <c r="F84" i="45"/>
  <c r="J89" i="45"/>
  <c r="F96" i="45"/>
  <c r="F27" i="46"/>
  <c r="V27" i="46"/>
  <c r="F31" i="46"/>
  <c r="V31" i="46"/>
  <c r="R16" i="47"/>
  <c r="V77" i="48"/>
  <c r="V65" i="48"/>
  <c r="V61" i="48"/>
  <c r="V57" i="48"/>
  <c r="V49" i="48"/>
  <c r="V41" i="48"/>
  <c r="V33" i="48"/>
  <c r="V29" i="48"/>
  <c r="V21" i="48"/>
  <c r="V68" i="48"/>
  <c r="V64" i="48"/>
  <c r="V52" i="48"/>
  <c r="V48" i="48"/>
  <c r="V40" i="48"/>
  <c r="V32" i="48"/>
  <c r="V28" i="48"/>
  <c r="V20" i="48"/>
  <c r="V67" i="48"/>
  <c r="V63" i="48"/>
  <c r="V51" i="48"/>
  <c r="V43" i="48"/>
  <c r="V39" i="48"/>
  <c r="V31" i="48"/>
  <c r="V27" i="48"/>
  <c r="V70" i="48"/>
  <c r="V54" i="48"/>
  <c r="V42" i="48"/>
  <c r="V38" i="48"/>
  <c r="V26" i="48"/>
  <c r="V73" i="48"/>
  <c r="V69" i="48"/>
  <c r="V53" i="48"/>
  <c r="V45" i="48"/>
  <c r="V37" i="48"/>
  <c r="V25" i="48"/>
  <c r="V59" i="48"/>
  <c r="V55" i="48"/>
  <c r="V47" i="48"/>
  <c r="V35" i="48"/>
  <c r="V23" i="48"/>
  <c r="V19" i="48"/>
  <c r="V72" i="48"/>
  <c r="V66" i="48"/>
  <c r="V62" i="48"/>
  <c r="V58" i="48"/>
  <c r="V50" i="48"/>
  <c r="V46" i="48"/>
  <c r="V34" i="48"/>
  <c r="V30" i="48"/>
  <c r="R23" i="48"/>
  <c r="Z31" i="48"/>
  <c r="J40" i="48"/>
  <c r="Z42" i="48"/>
  <c r="V60" i="48"/>
  <c r="V28" i="51"/>
  <c r="V52" i="51"/>
  <c r="V56" i="51"/>
  <c r="V64" i="51"/>
  <c r="Z29" i="54"/>
  <c r="N23" i="55"/>
  <c r="Z44" i="56"/>
  <c r="L16" i="57"/>
  <c r="D67" i="57"/>
  <c r="R34" i="57"/>
  <c r="Z30" i="58"/>
  <c r="J25" i="49"/>
  <c r="R27" i="49"/>
  <c r="J29" i="49"/>
  <c r="R31" i="49"/>
  <c r="J33" i="49"/>
  <c r="R34" i="49"/>
  <c r="J36" i="49"/>
  <c r="J22" i="50"/>
  <c r="J22" i="51"/>
  <c r="H31" i="51"/>
  <c r="J42" i="51"/>
  <c r="J46" i="51"/>
  <c r="J54" i="51"/>
  <c r="J60" i="51"/>
  <c r="J68" i="51"/>
  <c r="J75" i="51"/>
  <c r="R27" i="52"/>
  <c r="R31" i="52"/>
  <c r="R34" i="52"/>
  <c r="R23" i="55"/>
  <c r="R26" i="55"/>
  <c r="R31" i="55"/>
  <c r="R38" i="55"/>
  <c r="J22" i="56"/>
  <c r="R27" i="56"/>
  <c r="R31" i="56"/>
  <c r="J34" i="56"/>
  <c r="F35" i="56"/>
  <c r="R39" i="56"/>
  <c r="J40" i="56"/>
  <c r="F43" i="56"/>
  <c r="R44" i="56"/>
  <c r="F46" i="56"/>
  <c r="V46" i="56"/>
  <c r="R47" i="56"/>
  <c r="J48" i="56"/>
  <c r="F51" i="56"/>
  <c r="R52" i="56"/>
  <c r="F54" i="56"/>
  <c r="V54" i="56"/>
  <c r="R55" i="56"/>
  <c r="F58" i="56"/>
  <c r="V58" i="56"/>
  <c r="R59" i="56"/>
  <c r="V62" i="56"/>
  <c r="F67" i="56"/>
  <c r="R68" i="56"/>
  <c r="F70" i="56"/>
  <c r="V70" i="56"/>
  <c r="R71" i="56"/>
  <c r="D75" i="56"/>
  <c r="T75" i="56"/>
  <c r="R77" i="56"/>
  <c r="J35" i="57"/>
  <c r="J43" i="57"/>
  <c r="J51" i="57"/>
  <c r="J55" i="57"/>
  <c r="V59" i="57"/>
  <c r="J63" i="57"/>
  <c r="F65" i="57"/>
  <c r="V65" i="57"/>
  <c r="J69" i="57"/>
  <c r="F71" i="57"/>
  <c r="V71" i="57"/>
  <c r="R67" i="58"/>
  <c r="Z16" i="59"/>
  <c r="T67" i="59"/>
  <c r="N18" i="59"/>
  <c r="N19" i="59"/>
  <c r="F23" i="59"/>
  <c r="F37" i="59"/>
  <c r="J46" i="59"/>
  <c r="F50" i="59"/>
  <c r="F29" i="60"/>
  <c r="F34" i="60"/>
  <c r="Z44" i="60"/>
  <c r="R16" i="49"/>
  <c r="J18" i="49"/>
  <c r="R20" i="49"/>
  <c r="F24" i="49"/>
  <c r="V24" i="49"/>
  <c r="J15" i="50"/>
  <c r="H18" i="50"/>
  <c r="F21" i="50"/>
  <c r="J25" i="50"/>
  <c r="R27" i="50"/>
  <c r="J29" i="50"/>
  <c r="R31" i="50"/>
  <c r="J33" i="50"/>
  <c r="R34" i="50"/>
  <c r="J36" i="50"/>
  <c r="P12" i="51"/>
  <c r="J23" i="51"/>
  <c r="J31" i="51"/>
  <c r="J35" i="51"/>
  <c r="J43" i="51"/>
  <c r="J47" i="51"/>
  <c r="J55" i="51"/>
  <c r="J63" i="51"/>
  <c r="R16" i="52"/>
  <c r="J18" i="52"/>
  <c r="R20" i="52"/>
  <c r="F24" i="52"/>
  <c r="V24" i="52"/>
  <c r="J15" i="53"/>
  <c r="H18" i="53"/>
  <c r="F21" i="53"/>
  <c r="J25" i="53"/>
  <c r="R27" i="53"/>
  <c r="J29" i="53"/>
  <c r="R31" i="53"/>
  <c r="J33" i="53"/>
  <c r="R34" i="53"/>
  <c r="J36" i="53"/>
  <c r="N12" i="54"/>
  <c r="J14" i="54"/>
  <c r="J18" i="54"/>
  <c r="J22" i="54"/>
  <c r="J28" i="54"/>
  <c r="J31" i="54"/>
  <c r="V16" i="55"/>
  <c r="J18" i="55"/>
  <c r="V18" i="55"/>
  <c r="J22" i="55"/>
  <c r="V26" i="55"/>
  <c r="R27" i="55"/>
  <c r="D31" i="55"/>
  <c r="T31" i="55"/>
  <c r="R33" i="55"/>
  <c r="L12" i="56"/>
  <c r="P16" i="56"/>
  <c r="F18" i="56"/>
  <c r="R18" i="56"/>
  <c r="F19" i="56"/>
  <c r="V19" i="56"/>
  <c r="R20" i="56"/>
  <c r="J23" i="56"/>
  <c r="F24" i="56"/>
  <c r="V27" i="56"/>
  <c r="R28" i="56"/>
  <c r="J29" i="56"/>
  <c r="V31" i="56"/>
  <c r="R32" i="56"/>
  <c r="J35" i="56"/>
  <c r="F36" i="56"/>
  <c r="V39" i="56"/>
  <c r="J43" i="56"/>
  <c r="V47" i="56"/>
  <c r="J51" i="56"/>
  <c r="V55" i="56"/>
  <c r="R56" i="56"/>
  <c r="V59" i="56"/>
  <c r="R60" i="56"/>
  <c r="J61" i="56"/>
  <c r="F64" i="56"/>
  <c r="J67" i="56"/>
  <c r="V71" i="56"/>
  <c r="F75" i="56"/>
  <c r="V75" i="56"/>
  <c r="V77" i="56"/>
  <c r="F82" i="56"/>
  <c r="V82" i="56"/>
  <c r="N12" i="57"/>
  <c r="J14" i="57"/>
  <c r="V20" i="57"/>
  <c r="J24" i="57"/>
  <c r="F25" i="57"/>
  <c r="V28" i="57"/>
  <c r="V32" i="57"/>
  <c r="J36" i="57"/>
  <c r="F37" i="57"/>
  <c r="F41" i="57"/>
  <c r="F44" i="57"/>
  <c r="V44" i="57"/>
  <c r="J46" i="57"/>
  <c r="F49" i="57"/>
  <c r="J52" i="57"/>
  <c r="F53" i="57"/>
  <c r="F56" i="57"/>
  <c r="V56" i="57"/>
  <c r="J58" i="57"/>
  <c r="F61" i="57"/>
  <c r="F81" i="58"/>
  <c r="F75" i="58"/>
  <c r="F57" i="58"/>
  <c r="F53" i="58"/>
  <c r="F50" i="58"/>
  <c r="F45" i="58"/>
  <c r="F42" i="58"/>
  <c r="F38" i="58"/>
  <c r="F79" i="58"/>
  <c r="F73" i="58"/>
  <c r="F68" i="58"/>
  <c r="F60" i="58"/>
  <c r="F63" i="58"/>
  <c r="F56" i="58"/>
  <c r="F52" i="58"/>
  <c r="F47" i="58"/>
  <c r="F44" i="58"/>
  <c r="F70" i="58"/>
  <c r="F67" i="58"/>
  <c r="F59" i="58"/>
  <c r="F55" i="58"/>
  <c r="F72" i="58"/>
  <c r="F69" i="58"/>
  <c r="F65" i="58"/>
  <c r="F61" i="58"/>
  <c r="R19" i="58"/>
  <c r="F22" i="58"/>
  <c r="V25" i="58"/>
  <c r="R26" i="58"/>
  <c r="F34" i="58"/>
  <c r="V37" i="58"/>
  <c r="V38" i="58"/>
  <c r="R39" i="58"/>
  <c r="V41" i="58"/>
  <c r="V49" i="58"/>
  <c r="Z51" i="58"/>
  <c r="F54" i="58"/>
  <c r="R55" i="58"/>
  <c r="F66" i="58"/>
  <c r="V67" i="58"/>
  <c r="R72" i="58"/>
  <c r="L75" i="58"/>
  <c r="F77" i="58"/>
  <c r="R84" i="58"/>
  <c r="Z29" i="59"/>
  <c r="Z47" i="59"/>
  <c r="J49" i="59"/>
  <c r="J50" i="59"/>
  <c r="L55" i="59"/>
  <c r="F63" i="59"/>
  <c r="N42" i="60"/>
  <c r="H30" i="63"/>
  <c r="J18" i="63"/>
  <c r="V62" i="58"/>
  <c r="V84" i="58"/>
  <c r="N55" i="59"/>
  <c r="X19" i="62"/>
  <c r="Z19" i="62" s="1"/>
  <c r="P12" i="63"/>
  <c r="X14" i="63"/>
  <c r="Z14" i="63" s="1"/>
  <c r="F20" i="49"/>
  <c r="R22" i="49"/>
  <c r="J24" i="49"/>
  <c r="J21" i="50"/>
  <c r="F27" i="50"/>
  <c r="F31" i="50"/>
  <c r="F34" i="50"/>
  <c r="J19" i="51"/>
  <c r="J25" i="51"/>
  <c r="J37" i="51"/>
  <c r="J49" i="51"/>
  <c r="J61" i="51"/>
  <c r="J69" i="51"/>
  <c r="J76" i="51"/>
  <c r="J81" i="51"/>
  <c r="F16" i="52"/>
  <c r="V16" i="52"/>
  <c r="F20" i="52"/>
  <c r="V20" i="52"/>
  <c r="R22" i="52"/>
  <c r="J24" i="52"/>
  <c r="J21" i="53"/>
  <c r="F27" i="53"/>
  <c r="F31" i="53"/>
  <c r="F34" i="53"/>
  <c r="V16" i="54"/>
  <c r="F20" i="54"/>
  <c r="V20" i="54"/>
  <c r="J24" i="54"/>
  <c r="F26" i="54"/>
  <c r="V26" i="54"/>
  <c r="F29" i="54"/>
  <c r="V29" i="54"/>
  <c r="R14" i="55"/>
  <c r="J16" i="55"/>
  <c r="J20" i="55"/>
  <c r="V24" i="55"/>
  <c r="J19" i="56"/>
  <c r="V21" i="56"/>
  <c r="R22" i="56"/>
  <c r="J25" i="56"/>
  <c r="F26" i="56"/>
  <c r="F30" i="56"/>
  <c r="V33" i="56"/>
  <c r="R34" i="56"/>
  <c r="J37" i="56"/>
  <c r="F38" i="56"/>
  <c r="J41" i="56"/>
  <c r="V45" i="56"/>
  <c r="J49" i="56"/>
  <c r="V53" i="56"/>
  <c r="V57" i="56"/>
  <c r="F62" i="56"/>
  <c r="R63" i="56"/>
  <c r="J65" i="56"/>
  <c r="V69" i="56"/>
  <c r="R73" i="56"/>
  <c r="J75" i="56"/>
  <c r="R79" i="56"/>
  <c r="J82" i="56"/>
  <c r="F16" i="57"/>
  <c r="V16" i="57"/>
  <c r="J18" i="57"/>
  <c r="V18" i="57"/>
  <c r="V22" i="57"/>
  <c r="J26" i="57"/>
  <c r="F27" i="57"/>
  <c r="J30" i="57"/>
  <c r="F31" i="57"/>
  <c r="V34" i="57"/>
  <c r="J38" i="57"/>
  <c r="F39" i="57"/>
  <c r="F42" i="57"/>
  <c r="V42" i="57"/>
  <c r="J44" i="57"/>
  <c r="F47" i="57"/>
  <c r="F50" i="57"/>
  <c r="V50" i="57"/>
  <c r="F54" i="57"/>
  <c r="V54" i="57"/>
  <c r="J56" i="57"/>
  <c r="F59" i="57"/>
  <c r="F62" i="57"/>
  <c r="V62" i="57"/>
  <c r="L12" i="58"/>
  <c r="P16" i="58"/>
  <c r="F18" i="58"/>
  <c r="R18" i="58"/>
  <c r="F19" i="58"/>
  <c r="V19" i="58"/>
  <c r="R20" i="58"/>
  <c r="F24" i="58"/>
  <c r="V27" i="58"/>
  <c r="R28" i="58"/>
  <c r="V31" i="58"/>
  <c r="R32" i="58"/>
  <c r="F36" i="58"/>
  <c r="V46" i="58"/>
  <c r="R47" i="58"/>
  <c r="F51" i="58"/>
  <c r="R59" i="58"/>
  <c r="R63" i="58"/>
  <c r="V66" i="58"/>
  <c r="X72" i="58"/>
  <c r="Z72" i="58" s="1"/>
  <c r="R77" i="58"/>
  <c r="J44" i="59"/>
  <c r="J60" i="59"/>
  <c r="X65" i="59"/>
  <c r="D12" i="64"/>
  <c r="L14" i="64"/>
  <c r="R15" i="49"/>
  <c r="P18" i="49"/>
  <c r="R25" i="49"/>
  <c r="J27" i="49"/>
  <c r="R29" i="49"/>
  <c r="J31" i="49"/>
  <c r="R33" i="49"/>
  <c r="J34" i="49"/>
  <c r="R36" i="49"/>
  <c r="F16" i="50"/>
  <c r="F20" i="50"/>
  <c r="R22" i="50"/>
  <c r="J24" i="50"/>
  <c r="J26" i="51"/>
  <c r="J38" i="51"/>
  <c r="J50" i="51"/>
  <c r="J56" i="51"/>
  <c r="J64" i="51"/>
  <c r="J70" i="51"/>
  <c r="J74" i="51"/>
  <c r="R15" i="52"/>
  <c r="P18" i="52"/>
  <c r="R25" i="52"/>
  <c r="J27" i="52"/>
  <c r="R29" i="52"/>
  <c r="J31" i="52"/>
  <c r="R33" i="52"/>
  <c r="J34" i="52"/>
  <c r="R36" i="52"/>
  <c r="F16" i="53"/>
  <c r="F20" i="53"/>
  <c r="R22" i="53"/>
  <c r="J24" i="53"/>
  <c r="H16" i="54"/>
  <c r="L16" i="54" s="1"/>
  <c r="R19" i="55"/>
  <c r="F21" i="55"/>
  <c r="V21" i="55"/>
  <c r="R22" i="55"/>
  <c r="J23" i="55"/>
  <c r="F26" i="55"/>
  <c r="R29" i="55"/>
  <c r="J31" i="55"/>
  <c r="R35" i="55"/>
  <c r="J38" i="55"/>
  <c r="F16" i="56"/>
  <c r="V16" i="56"/>
  <c r="J18" i="56"/>
  <c r="V18" i="56"/>
  <c r="V22" i="56"/>
  <c r="R23" i="56"/>
  <c r="J26" i="56"/>
  <c r="F27" i="56"/>
  <c r="J30" i="56"/>
  <c r="F31" i="56"/>
  <c r="V34" i="56"/>
  <c r="R35" i="56"/>
  <c r="J38" i="56"/>
  <c r="F39" i="56"/>
  <c r="R40" i="56"/>
  <c r="F42" i="56"/>
  <c r="V42" i="56"/>
  <c r="R43" i="56"/>
  <c r="J44" i="56"/>
  <c r="F47" i="56"/>
  <c r="R48" i="56"/>
  <c r="F50" i="56"/>
  <c r="V50" i="56"/>
  <c r="R51" i="56"/>
  <c r="J52" i="56"/>
  <c r="F55" i="56"/>
  <c r="F59" i="56"/>
  <c r="J62" i="56"/>
  <c r="F66" i="56"/>
  <c r="V66" i="56"/>
  <c r="R67" i="56"/>
  <c r="J68" i="56"/>
  <c r="F71" i="56"/>
  <c r="F77" i="56"/>
  <c r="H16" i="57"/>
  <c r="F20" i="57"/>
  <c r="V23" i="57"/>
  <c r="J27" i="57"/>
  <c r="F28" i="57"/>
  <c r="J31" i="57"/>
  <c r="F32" i="57"/>
  <c r="V35" i="57"/>
  <c r="J39" i="57"/>
  <c r="V43" i="57"/>
  <c r="J47" i="57"/>
  <c r="V51" i="57"/>
  <c r="V55" i="57"/>
  <c r="J59" i="57"/>
  <c r="V63" i="57"/>
  <c r="F67" i="57"/>
  <c r="V67" i="57"/>
  <c r="V69" i="57"/>
  <c r="F74" i="57"/>
  <c r="V74" i="57"/>
  <c r="R16" i="58"/>
  <c r="V20" i="58"/>
  <c r="R21" i="58"/>
  <c r="F25" i="58"/>
  <c r="V28" i="58"/>
  <c r="R29" i="58"/>
  <c r="V32" i="58"/>
  <c r="R33" i="58"/>
  <c r="F37" i="58"/>
  <c r="F41" i="58"/>
  <c r="Z47" i="58"/>
  <c r="F49" i="58"/>
  <c r="N51" i="58"/>
  <c r="V54" i="58"/>
  <c r="F58" i="58"/>
  <c r="V59" i="58"/>
  <c r="Z63" i="58"/>
  <c r="V77" i="58"/>
  <c r="Z18" i="59"/>
  <c r="X19" i="59"/>
  <c r="Z19" i="59" s="1"/>
  <c r="J21" i="59"/>
  <c r="J54" i="59"/>
  <c r="F65" i="60"/>
  <c r="F58" i="60"/>
  <c r="F51" i="60"/>
  <c r="F42" i="60"/>
  <c r="F39" i="60"/>
  <c r="F31" i="60"/>
  <c r="F27" i="60"/>
  <c r="F16" i="60"/>
  <c r="F62" i="60"/>
  <c r="F60" i="60"/>
  <c r="F50" i="60"/>
  <c r="F38" i="60"/>
  <c r="F30" i="60"/>
  <c r="F26" i="60"/>
  <c r="D16" i="60"/>
  <c r="F44" i="60"/>
  <c r="F41" i="60"/>
  <c r="F37" i="60"/>
  <c r="F25" i="60"/>
  <c r="F56" i="60"/>
  <c r="F54" i="60"/>
  <c r="F47" i="60"/>
  <c r="F36" i="60"/>
  <c r="F24" i="60"/>
  <c r="F19" i="60"/>
  <c r="F18" i="60"/>
  <c r="L12" i="60"/>
  <c r="F43" i="60"/>
  <c r="F35" i="60"/>
  <c r="F23" i="60"/>
  <c r="F14" i="60"/>
  <c r="F45" i="60"/>
  <c r="F40" i="60"/>
  <c r="F33" i="60"/>
  <c r="F21" i="60"/>
  <c r="N18" i="60"/>
  <c r="F32" i="60"/>
  <c r="F49" i="60"/>
  <c r="L17" i="62"/>
  <c r="D101" i="62"/>
  <c r="J16" i="49"/>
  <c r="R18" i="49"/>
  <c r="J20" i="49"/>
  <c r="F22" i="49"/>
  <c r="V22" i="49"/>
  <c r="R15" i="50"/>
  <c r="P18" i="50"/>
  <c r="R25" i="50"/>
  <c r="J27" i="50"/>
  <c r="R29" i="50"/>
  <c r="J31" i="50"/>
  <c r="R33" i="50"/>
  <c r="J34" i="50"/>
  <c r="R36" i="50"/>
  <c r="D12" i="51"/>
  <c r="J27" i="51"/>
  <c r="J39" i="51"/>
  <c r="J45" i="51"/>
  <c r="J51" i="51"/>
  <c r="J59" i="51"/>
  <c r="J67" i="51"/>
  <c r="J16" i="52"/>
  <c r="R18" i="52"/>
  <c r="J20" i="52"/>
  <c r="F22" i="52"/>
  <c r="V22" i="52"/>
  <c r="L34" i="52"/>
  <c r="R15" i="53"/>
  <c r="X16" i="53"/>
  <c r="P18" i="53"/>
  <c r="R25" i="53"/>
  <c r="J27" i="53"/>
  <c r="R29" i="53"/>
  <c r="J31" i="53"/>
  <c r="R33" i="53"/>
  <c r="J34" i="53"/>
  <c r="R36" i="53"/>
  <c r="J26" i="54"/>
  <c r="V22" i="55"/>
  <c r="J26" i="55"/>
  <c r="F27" i="55"/>
  <c r="F33" i="55"/>
  <c r="X12" i="56"/>
  <c r="H16" i="56"/>
  <c r="L16" i="56" s="1"/>
  <c r="F20" i="56"/>
  <c r="V23" i="56"/>
  <c r="R24" i="56"/>
  <c r="J27" i="56"/>
  <c r="F28" i="56"/>
  <c r="R29" i="56"/>
  <c r="J31" i="56"/>
  <c r="F32" i="56"/>
  <c r="V35" i="56"/>
  <c r="R36" i="56"/>
  <c r="J39" i="56"/>
  <c r="V43" i="56"/>
  <c r="J47" i="56"/>
  <c r="X50" i="56"/>
  <c r="Z50" i="56" s="1"/>
  <c r="V51" i="56"/>
  <c r="J55" i="56"/>
  <c r="F56" i="56"/>
  <c r="J59" i="56"/>
  <c r="F60" i="56"/>
  <c r="R61" i="56"/>
  <c r="F63" i="56"/>
  <c r="V63" i="56"/>
  <c r="R64" i="56"/>
  <c r="V67" i="56"/>
  <c r="J71" i="56"/>
  <c r="F73" i="56"/>
  <c r="V73" i="56"/>
  <c r="J77" i="56"/>
  <c r="F79" i="56"/>
  <c r="V79" i="56"/>
  <c r="J16" i="57"/>
  <c r="J20" i="57"/>
  <c r="F21" i="57"/>
  <c r="V24" i="57"/>
  <c r="J28" i="57"/>
  <c r="J32" i="57"/>
  <c r="F33" i="57"/>
  <c r="V36" i="57"/>
  <c r="F40" i="57"/>
  <c r="V40" i="57"/>
  <c r="J42" i="57"/>
  <c r="F45" i="57"/>
  <c r="F48" i="57"/>
  <c r="V48" i="57"/>
  <c r="J50" i="57"/>
  <c r="V52" i="57"/>
  <c r="J54" i="57"/>
  <c r="F57" i="57"/>
  <c r="F60" i="57"/>
  <c r="V60" i="57"/>
  <c r="J62" i="57"/>
  <c r="R66" i="58"/>
  <c r="R62" i="58"/>
  <c r="R58" i="58"/>
  <c r="R54" i="58"/>
  <c r="R51" i="58"/>
  <c r="R46" i="58"/>
  <c r="R43" i="58"/>
  <c r="R69" i="58"/>
  <c r="R65" i="58"/>
  <c r="R61" i="58"/>
  <c r="R81" i="58"/>
  <c r="R75" i="58"/>
  <c r="R64" i="58"/>
  <c r="R57" i="58"/>
  <c r="R53" i="58"/>
  <c r="R48" i="58"/>
  <c r="R45" i="58"/>
  <c r="R40" i="58"/>
  <c r="R71" i="58"/>
  <c r="R68" i="58"/>
  <c r="R60" i="58"/>
  <c r="R79" i="58"/>
  <c r="R73" i="58"/>
  <c r="R70" i="58"/>
  <c r="D77" i="58"/>
  <c r="T77" i="58"/>
  <c r="V21" i="58"/>
  <c r="R22" i="58"/>
  <c r="F26" i="58"/>
  <c r="V29" i="58"/>
  <c r="R34" i="58"/>
  <c r="F39" i="58"/>
  <c r="F40" i="58"/>
  <c r="R42" i="58"/>
  <c r="X43" i="58"/>
  <c r="Z43" i="58" s="1"/>
  <c r="R52" i="58"/>
  <c r="X70" i="58"/>
  <c r="F57" i="59"/>
  <c r="F54" i="59"/>
  <c r="F60" i="59"/>
  <c r="F53" i="59"/>
  <c r="F49" i="59"/>
  <c r="F40" i="59"/>
  <c r="F33" i="59"/>
  <c r="F21" i="59"/>
  <c r="F74" i="59"/>
  <c r="F67" i="59"/>
  <c r="F56" i="59"/>
  <c r="F48" i="59"/>
  <c r="F32" i="59"/>
  <c r="F28" i="59"/>
  <c r="F20" i="59"/>
  <c r="F62" i="59"/>
  <c r="F59" i="59"/>
  <c r="F42" i="59"/>
  <c r="F39" i="59"/>
  <c r="F31" i="59"/>
  <c r="F27" i="59"/>
  <c r="F16" i="59"/>
  <c r="F58" i="59"/>
  <c r="F45" i="59"/>
  <c r="F38" i="59"/>
  <c r="F30" i="59"/>
  <c r="F26" i="59"/>
  <c r="D16" i="59"/>
  <c r="F71" i="59"/>
  <c r="F65" i="59"/>
  <c r="F55" i="59"/>
  <c r="F47" i="59"/>
  <c r="F44" i="59"/>
  <c r="F36" i="59"/>
  <c r="F24" i="59"/>
  <c r="F19" i="59"/>
  <c r="F18" i="59"/>
  <c r="L12" i="59"/>
  <c r="J14" i="59"/>
  <c r="F29" i="59"/>
  <c r="F34" i="59"/>
  <c r="F41" i="59"/>
  <c r="Z45" i="59"/>
  <c r="L47" i="59"/>
  <c r="Z55" i="59"/>
  <c r="X56" i="60"/>
  <c r="J61" i="61"/>
  <c r="J55" i="61"/>
  <c r="J51" i="61"/>
  <c r="J39" i="61"/>
  <c r="J31" i="61"/>
  <c r="J27" i="61"/>
  <c r="H16" i="61"/>
  <c r="J36" i="61"/>
  <c r="J24" i="61"/>
  <c r="J14" i="61"/>
  <c r="N12" i="61"/>
  <c r="J45" i="61"/>
  <c r="J33" i="61"/>
  <c r="J21" i="61"/>
  <c r="J48" i="61"/>
  <c r="J42" i="61"/>
  <c r="J32" i="61"/>
  <c r="J28" i="61"/>
  <c r="J20" i="61"/>
  <c r="J16" i="61"/>
  <c r="J50" i="61"/>
  <c r="J49" i="61"/>
  <c r="J34" i="61"/>
  <c r="J22" i="61"/>
  <c r="J52" i="61"/>
  <c r="J46" i="61"/>
  <c r="J37" i="61"/>
  <c r="J30" i="61"/>
  <c r="J29" i="61"/>
  <c r="J23" i="61"/>
  <c r="J64" i="61"/>
  <c r="J53" i="61"/>
  <c r="J40" i="61"/>
  <c r="J57" i="61"/>
  <c r="J41" i="61"/>
  <c r="J38" i="61"/>
  <c r="L12" i="61"/>
  <c r="J44" i="61"/>
  <c r="J43" i="61"/>
  <c r="J25" i="61"/>
  <c r="J18" i="61"/>
  <c r="J59" i="61"/>
  <c r="J47" i="61"/>
  <c r="J35" i="61"/>
  <c r="J26" i="61"/>
  <c r="L20" i="62"/>
  <c r="N20" i="62"/>
  <c r="R21" i="49"/>
  <c r="F25" i="49"/>
  <c r="V25" i="49"/>
  <c r="F29" i="49"/>
  <c r="V29" i="49"/>
  <c r="F33" i="49"/>
  <c r="V33" i="49"/>
  <c r="F36" i="49"/>
  <c r="V36" i="49"/>
  <c r="J16" i="50"/>
  <c r="F22" i="50"/>
  <c r="J20" i="51"/>
  <c r="J28" i="51"/>
  <c r="J34" i="51"/>
  <c r="J40" i="51"/>
  <c r="J52" i="51"/>
  <c r="J62" i="51"/>
  <c r="X75" i="51"/>
  <c r="J77" i="51"/>
  <c r="L12" i="52"/>
  <c r="F15" i="52"/>
  <c r="V15" i="52"/>
  <c r="D18" i="52"/>
  <c r="T18" i="52"/>
  <c r="R21" i="52"/>
  <c r="F25" i="52"/>
  <c r="V25" i="52"/>
  <c r="F29" i="52"/>
  <c r="V29" i="52"/>
  <c r="F33" i="52"/>
  <c r="V33" i="52"/>
  <c r="F36" i="52"/>
  <c r="V36" i="52"/>
  <c r="J16" i="53"/>
  <c r="R18" i="53"/>
  <c r="F22" i="53"/>
  <c r="L12" i="55"/>
  <c r="P16" i="55"/>
  <c r="F18" i="55"/>
  <c r="R18" i="55"/>
  <c r="F19" i="55"/>
  <c r="V19" i="55"/>
  <c r="R20" i="55"/>
  <c r="J21" i="55"/>
  <c r="F24" i="55"/>
  <c r="R25" i="55"/>
  <c r="J27" i="55"/>
  <c r="F29" i="55"/>
  <c r="V29" i="55"/>
  <c r="J33" i="55"/>
  <c r="V35" i="55"/>
  <c r="Z12" i="56"/>
  <c r="R14" i="56"/>
  <c r="J16" i="56"/>
  <c r="J20" i="56"/>
  <c r="F21" i="56"/>
  <c r="V24" i="56"/>
  <c r="R25" i="56"/>
  <c r="J28" i="56"/>
  <c r="J32" i="56"/>
  <c r="F33" i="56"/>
  <c r="V36" i="56"/>
  <c r="R37" i="56"/>
  <c r="F40" i="56"/>
  <c r="V40" i="56"/>
  <c r="R41" i="56"/>
  <c r="J42" i="56"/>
  <c r="F45" i="56"/>
  <c r="R46" i="56"/>
  <c r="F48" i="56"/>
  <c r="V48" i="56"/>
  <c r="R49" i="56"/>
  <c r="J50" i="56"/>
  <c r="F53" i="56"/>
  <c r="R54" i="56"/>
  <c r="J56" i="56"/>
  <c r="F57" i="56"/>
  <c r="R58" i="56"/>
  <c r="J60" i="56"/>
  <c r="V64" i="56"/>
  <c r="R65" i="56"/>
  <c r="J66" i="56"/>
  <c r="F69" i="56"/>
  <c r="R70" i="56"/>
  <c r="J21" i="57"/>
  <c r="F22" i="57"/>
  <c r="V25" i="57"/>
  <c r="F29" i="57"/>
  <c r="V29" i="57"/>
  <c r="J33" i="57"/>
  <c r="F34" i="57"/>
  <c r="V37" i="57"/>
  <c r="V41" i="57"/>
  <c r="J45" i="57"/>
  <c r="V49" i="57"/>
  <c r="V53" i="57"/>
  <c r="J57" i="57"/>
  <c r="V61" i="57"/>
  <c r="J67" i="57"/>
  <c r="J74" i="57"/>
  <c r="V81" i="58"/>
  <c r="V75" i="58"/>
  <c r="V69" i="58"/>
  <c r="V65" i="58"/>
  <c r="V61" i="58"/>
  <c r="V57" i="58"/>
  <c r="V53" i="58"/>
  <c r="V45" i="58"/>
  <c r="V68" i="58"/>
  <c r="V64" i="58"/>
  <c r="V60" i="58"/>
  <c r="V48" i="58"/>
  <c r="V40" i="58"/>
  <c r="V71" i="58"/>
  <c r="V63" i="58"/>
  <c r="V47" i="58"/>
  <c r="V39" i="58"/>
  <c r="V70" i="58"/>
  <c r="V50" i="58"/>
  <c r="V42" i="58"/>
  <c r="V72" i="58"/>
  <c r="V56" i="58"/>
  <c r="V52" i="58"/>
  <c r="V44" i="58"/>
  <c r="V16" i="58"/>
  <c r="V18" i="58"/>
  <c r="V22" i="58"/>
  <c r="R23" i="58"/>
  <c r="F27" i="58"/>
  <c r="F31" i="58"/>
  <c r="V34" i="58"/>
  <c r="R35" i="58"/>
  <c r="F48" i="58"/>
  <c r="R50" i="58"/>
  <c r="V58" i="58"/>
  <c r="F64" i="58"/>
  <c r="N68" i="58"/>
  <c r="Z70" i="58"/>
  <c r="L72" i="58"/>
  <c r="J74" i="59"/>
  <c r="J67" i="59"/>
  <c r="J53" i="59"/>
  <c r="J62" i="59"/>
  <c r="J56" i="59"/>
  <c r="J48" i="59"/>
  <c r="J42" i="59"/>
  <c r="J32" i="59"/>
  <c r="J28" i="59"/>
  <c r="J20" i="59"/>
  <c r="J16" i="59"/>
  <c r="J59" i="59"/>
  <c r="J45" i="59"/>
  <c r="J39" i="59"/>
  <c r="J31" i="59"/>
  <c r="J27" i="59"/>
  <c r="H16" i="59"/>
  <c r="J58" i="59"/>
  <c r="J52" i="59"/>
  <c r="J38" i="59"/>
  <c r="J30" i="59"/>
  <c r="J26" i="59"/>
  <c r="J18" i="59"/>
  <c r="J71" i="59"/>
  <c r="J65" i="59"/>
  <c r="J61" i="59"/>
  <c r="J55" i="59"/>
  <c r="J47" i="59"/>
  <c r="J41" i="59"/>
  <c r="J37" i="59"/>
  <c r="J25" i="59"/>
  <c r="J19" i="59"/>
  <c r="J69" i="59"/>
  <c r="J63" i="59"/>
  <c r="J57" i="59"/>
  <c r="J51" i="59"/>
  <c r="J43" i="59"/>
  <c r="J35" i="59"/>
  <c r="J29" i="59"/>
  <c r="J23" i="59"/>
  <c r="J34" i="59"/>
  <c r="J40" i="59"/>
  <c r="N47" i="59"/>
  <c r="F52" i="59"/>
  <c r="F69" i="59"/>
  <c r="H58" i="60"/>
  <c r="N16" i="60"/>
  <c r="F48" i="60"/>
  <c r="F53" i="60"/>
  <c r="L16" i="61"/>
  <c r="D57" i="61"/>
  <c r="N29" i="61"/>
  <c r="D72" i="48"/>
  <c r="L72" i="48" s="1"/>
  <c r="N72" i="48" s="1"/>
  <c r="N12" i="49"/>
  <c r="L12" i="50"/>
  <c r="F15" i="50"/>
  <c r="D18" i="50"/>
  <c r="F25" i="50"/>
  <c r="F29" i="50"/>
  <c r="F33" i="50"/>
  <c r="J21" i="51"/>
  <c r="J29" i="51"/>
  <c r="J33" i="51"/>
  <c r="J41" i="51"/>
  <c r="J53" i="51"/>
  <c r="J57" i="51"/>
  <c r="J65" i="51"/>
  <c r="N12" i="52"/>
  <c r="L12" i="53"/>
  <c r="F15" i="53"/>
  <c r="D18" i="53"/>
  <c r="F25" i="53"/>
  <c r="F29" i="53"/>
  <c r="F33" i="53"/>
  <c r="F14" i="54"/>
  <c r="V14" i="54"/>
  <c r="F18" i="54"/>
  <c r="V18" i="54"/>
  <c r="F22" i="54"/>
  <c r="V22" i="54"/>
  <c r="V24" i="54"/>
  <c r="F28" i="54"/>
  <c r="V28" i="54"/>
  <c r="N12" i="55"/>
  <c r="J14" i="55"/>
  <c r="R19" i="56"/>
  <c r="J21" i="56"/>
  <c r="F22" i="56"/>
  <c r="R26" i="56"/>
  <c r="F29" i="56"/>
  <c r="V29" i="56"/>
  <c r="R30" i="56"/>
  <c r="J33" i="56"/>
  <c r="F34" i="56"/>
  <c r="V37" i="56"/>
  <c r="R38" i="56"/>
  <c r="V41" i="56"/>
  <c r="J45" i="56"/>
  <c r="V49" i="56"/>
  <c r="J53" i="56"/>
  <c r="J57" i="56"/>
  <c r="V61" i="56"/>
  <c r="R62" i="56"/>
  <c r="J63" i="56"/>
  <c r="J69" i="56"/>
  <c r="J73" i="56"/>
  <c r="R75" i="56"/>
  <c r="J22" i="57"/>
  <c r="V26" i="57"/>
  <c r="V30" i="57"/>
  <c r="J34" i="57"/>
  <c r="F35" i="57"/>
  <c r="V38" i="57"/>
  <c r="J40" i="57"/>
  <c r="F43" i="57"/>
  <c r="F46" i="57"/>
  <c r="V46" i="57"/>
  <c r="J48" i="57"/>
  <c r="F51" i="57"/>
  <c r="F55" i="57"/>
  <c r="F58" i="57"/>
  <c r="F63" i="57"/>
  <c r="R24" i="58"/>
  <c r="V35" i="58"/>
  <c r="R36" i="58"/>
  <c r="R41" i="58"/>
  <c r="V43" i="58"/>
  <c r="L45" i="58"/>
  <c r="N45" i="58" s="1"/>
  <c r="R49" i="58"/>
  <c r="F62" i="58"/>
  <c r="V73" i="58"/>
  <c r="V79" i="58"/>
  <c r="F84" i="58"/>
  <c r="L29" i="59"/>
  <c r="N29" i="59" s="1"/>
  <c r="J33" i="59"/>
  <c r="F51" i="59"/>
  <c r="N57" i="59"/>
  <c r="Z40" i="60"/>
  <c r="F52" i="60"/>
  <c r="N19" i="62"/>
  <c r="L19" i="62"/>
  <c r="H101" i="62"/>
  <c r="Z62" i="63"/>
  <c r="X62" i="63"/>
  <c r="N75" i="62"/>
  <c r="R86" i="62"/>
  <c r="Z32" i="63"/>
  <c r="Z76" i="63"/>
  <c r="P16" i="59"/>
  <c r="R18" i="59"/>
  <c r="V19" i="59"/>
  <c r="R20" i="59"/>
  <c r="V27" i="59"/>
  <c r="R28" i="59"/>
  <c r="V31" i="59"/>
  <c r="R32" i="59"/>
  <c r="V39" i="59"/>
  <c r="R45" i="59"/>
  <c r="V47" i="59"/>
  <c r="R48" i="59"/>
  <c r="V55" i="59"/>
  <c r="R56" i="59"/>
  <c r="V59" i="59"/>
  <c r="V65" i="59"/>
  <c r="V71" i="59"/>
  <c r="Z12" i="60"/>
  <c r="R14" i="60"/>
  <c r="J16" i="60"/>
  <c r="J20" i="60"/>
  <c r="V24" i="60"/>
  <c r="R25" i="60"/>
  <c r="J28" i="60"/>
  <c r="J32" i="60"/>
  <c r="V36" i="60"/>
  <c r="R37" i="60"/>
  <c r="V40" i="60"/>
  <c r="R41" i="60"/>
  <c r="J42" i="60"/>
  <c r="J48" i="60"/>
  <c r="J52" i="60"/>
  <c r="V53" i="60"/>
  <c r="R56" i="60"/>
  <c r="V22" i="61"/>
  <c r="V46" i="61"/>
  <c r="R48" i="61"/>
  <c r="V50" i="61"/>
  <c r="V61" i="61"/>
  <c r="T101" i="62"/>
  <c r="R45" i="62"/>
  <c r="R47" i="62"/>
  <c r="R50" i="62"/>
  <c r="V53" i="62"/>
  <c r="V56" i="62"/>
  <c r="V58" i="62"/>
  <c r="F63" i="62"/>
  <c r="F73" i="62"/>
  <c r="V77" i="62"/>
  <c r="V80" i="62"/>
  <c r="V85" i="62"/>
  <c r="V86" i="62"/>
  <c r="V89" i="62"/>
  <c r="L18" i="63"/>
  <c r="N18" i="63" s="1"/>
  <c r="V32" i="63"/>
  <c r="V21" i="59"/>
  <c r="R22" i="59"/>
  <c r="V33" i="59"/>
  <c r="R34" i="59"/>
  <c r="V45" i="59"/>
  <c r="R46" i="59"/>
  <c r="V49" i="59"/>
  <c r="R50" i="59"/>
  <c r="V53" i="59"/>
  <c r="R54" i="59"/>
  <c r="R67" i="59"/>
  <c r="R74" i="59"/>
  <c r="V14" i="60"/>
  <c r="J22" i="60"/>
  <c r="V26" i="60"/>
  <c r="R27" i="60"/>
  <c r="V30" i="60"/>
  <c r="R31" i="60"/>
  <c r="J34" i="60"/>
  <c r="V38" i="60"/>
  <c r="R39" i="60"/>
  <c r="J40" i="60"/>
  <c r="R44" i="60"/>
  <c r="J46" i="60"/>
  <c r="V50" i="60"/>
  <c r="R51" i="60"/>
  <c r="V56" i="60"/>
  <c r="R65" i="60"/>
  <c r="P16" i="61"/>
  <c r="R18" i="61"/>
  <c r="V21" i="61"/>
  <c r="L29" i="61"/>
  <c r="V34" i="61"/>
  <c r="R35" i="61"/>
  <c r="N40" i="61"/>
  <c r="N55" i="61"/>
  <c r="L55" i="61"/>
  <c r="F95" i="62"/>
  <c r="F78" i="62"/>
  <c r="F70" i="62"/>
  <c r="F67" i="62"/>
  <c r="F62" i="62"/>
  <c r="F59" i="62"/>
  <c r="F54" i="62"/>
  <c r="F47" i="62"/>
  <c r="F42" i="62"/>
  <c r="F35" i="62"/>
  <c r="F23" i="62"/>
  <c r="F14" i="62"/>
  <c r="F91" i="62"/>
  <c r="F88" i="62"/>
  <c r="F84" i="62"/>
  <c r="F76" i="62"/>
  <c r="F72" i="62"/>
  <c r="F52" i="62"/>
  <c r="F40" i="62"/>
  <c r="F32" i="62"/>
  <c r="F28" i="62"/>
  <c r="F17" i="62"/>
  <c r="F93" i="62"/>
  <c r="F81" i="62"/>
  <c r="F68" i="62"/>
  <c r="F65" i="62"/>
  <c r="F60" i="62"/>
  <c r="F57" i="62"/>
  <c r="F48" i="62"/>
  <c r="F45" i="62"/>
  <c r="F37" i="62"/>
  <c r="F25" i="62"/>
  <c r="F20" i="62"/>
  <c r="F19" i="62"/>
  <c r="F99" i="62"/>
  <c r="F97" i="62"/>
  <c r="F92" i="62"/>
  <c r="F87" i="62"/>
  <c r="F75" i="62"/>
  <c r="F51" i="62"/>
  <c r="F36" i="62"/>
  <c r="F31" i="62"/>
  <c r="F24" i="62"/>
  <c r="L12" i="62"/>
  <c r="Z17" i="62"/>
  <c r="R22" i="62"/>
  <c r="N31" i="62"/>
  <c r="R34" i="62"/>
  <c r="R51" i="62"/>
  <c r="Z54" i="62"/>
  <c r="L56" i="62"/>
  <c r="F58" i="62"/>
  <c r="F61" i="62"/>
  <c r="R64" i="62"/>
  <c r="V65" i="62"/>
  <c r="R67" i="62"/>
  <c r="V69" i="62"/>
  <c r="R70" i="62"/>
  <c r="V74" i="62"/>
  <c r="Z78" i="62"/>
  <c r="L80" i="62"/>
  <c r="N80" i="62" s="1"/>
  <c r="F90" i="62"/>
  <c r="L91" i="62"/>
  <c r="V103" i="62"/>
  <c r="V105" i="62"/>
  <c r="N32" i="63"/>
  <c r="X53" i="63"/>
  <c r="N64" i="63"/>
  <c r="L64" i="63"/>
  <c r="V16" i="59"/>
  <c r="V18" i="59"/>
  <c r="V22" i="59"/>
  <c r="R23" i="59"/>
  <c r="V34" i="59"/>
  <c r="R35" i="59"/>
  <c r="R40" i="59"/>
  <c r="V42" i="59"/>
  <c r="R43" i="59"/>
  <c r="V46" i="59"/>
  <c r="V50" i="59"/>
  <c r="R51" i="59"/>
  <c r="V54" i="59"/>
  <c r="R60" i="59"/>
  <c r="V62" i="59"/>
  <c r="R63" i="59"/>
  <c r="R69" i="59"/>
  <c r="P16" i="60"/>
  <c r="R18" i="60"/>
  <c r="V19" i="60"/>
  <c r="R20" i="60"/>
  <c r="J23" i="60"/>
  <c r="V27" i="60"/>
  <c r="R28" i="60"/>
  <c r="J29" i="60"/>
  <c r="V31" i="60"/>
  <c r="R32" i="60"/>
  <c r="J35" i="60"/>
  <c r="V39" i="60"/>
  <c r="J43" i="60"/>
  <c r="V47" i="60"/>
  <c r="R48" i="60"/>
  <c r="J49" i="60"/>
  <c r="V51" i="60"/>
  <c r="R52" i="60"/>
  <c r="J53" i="60"/>
  <c r="V62" i="60"/>
  <c r="R64" i="61"/>
  <c r="R57" i="61"/>
  <c r="R49" i="61"/>
  <c r="R36" i="61"/>
  <c r="R29" i="61"/>
  <c r="R24" i="61"/>
  <c r="R45" i="61"/>
  <c r="R42" i="61"/>
  <c r="R33" i="61"/>
  <c r="R21" i="61"/>
  <c r="R16" i="61"/>
  <c r="R50" i="61"/>
  <c r="R47" i="61"/>
  <c r="R38" i="61"/>
  <c r="R30" i="61"/>
  <c r="R26" i="61"/>
  <c r="R19" i="61"/>
  <c r="R59" i="61"/>
  <c r="R53" i="61"/>
  <c r="R41" i="61"/>
  <c r="R37" i="61"/>
  <c r="R25" i="61"/>
  <c r="R14" i="61"/>
  <c r="T16" i="61"/>
  <c r="Z18" i="61"/>
  <c r="X19" i="61"/>
  <c r="Z19" i="61" s="1"/>
  <c r="R20" i="61"/>
  <c r="V33" i="61"/>
  <c r="X42" i="61"/>
  <c r="R43" i="61"/>
  <c r="V34" i="62"/>
  <c r="V41" i="62"/>
  <c r="V44" i="62"/>
  <c r="V46" i="62"/>
  <c r="F56" i="62"/>
  <c r="Z70" i="62"/>
  <c r="V73" i="62"/>
  <c r="R75" i="62"/>
  <c r="F80" i="62"/>
  <c r="F89" i="62"/>
  <c r="N91" i="62"/>
  <c r="F108" i="62"/>
  <c r="Z53" i="63"/>
  <c r="N24" i="64"/>
  <c r="L41" i="58"/>
  <c r="N41" i="58" s="1"/>
  <c r="X12" i="59"/>
  <c r="V23" i="59"/>
  <c r="R24" i="59"/>
  <c r="R29" i="59"/>
  <c r="V35" i="59"/>
  <c r="R36" i="59"/>
  <c r="V43" i="59"/>
  <c r="R44" i="59"/>
  <c r="V51" i="59"/>
  <c r="R57" i="59"/>
  <c r="V63" i="59"/>
  <c r="V67" i="59"/>
  <c r="V69" i="59"/>
  <c r="V74" i="59"/>
  <c r="N12" i="60"/>
  <c r="J14" i="60"/>
  <c r="V20" i="60"/>
  <c r="R21" i="60"/>
  <c r="J24" i="60"/>
  <c r="V28" i="60"/>
  <c r="V32" i="60"/>
  <c r="R33" i="60"/>
  <c r="J36" i="60"/>
  <c r="R42" i="60"/>
  <c r="V44" i="60"/>
  <c r="R45" i="60"/>
  <c r="V48" i="60"/>
  <c r="V52" i="60"/>
  <c r="J54" i="60"/>
  <c r="V43" i="61"/>
  <c r="V35" i="61"/>
  <c r="V23" i="61"/>
  <c r="V48" i="61"/>
  <c r="V44" i="61"/>
  <c r="V32" i="61"/>
  <c r="V28" i="61"/>
  <c r="V20" i="61"/>
  <c r="V64" i="61"/>
  <c r="V59" i="61"/>
  <c r="V57" i="61"/>
  <c r="V53" i="61"/>
  <c r="V49" i="61"/>
  <c r="V41" i="61"/>
  <c r="V37" i="61"/>
  <c r="V29" i="61"/>
  <c r="V25" i="61"/>
  <c r="V52" i="61"/>
  <c r="V40" i="61"/>
  <c r="V36" i="61"/>
  <c r="V24" i="61"/>
  <c r="Z12" i="61"/>
  <c r="V16" i="61"/>
  <c r="V18" i="61"/>
  <c r="R39" i="61"/>
  <c r="Z42" i="61"/>
  <c r="R55" i="61"/>
  <c r="R83" i="62"/>
  <c r="R79" i="62"/>
  <c r="R71" i="62"/>
  <c r="R68" i="62"/>
  <c r="R63" i="62"/>
  <c r="R60" i="62"/>
  <c r="R55" i="62"/>
  <c r="R48" i="62"/>
  <c r="R43" i="62"/>
  <c r="R39" i="62"/>
  <c r="R27" i="62"/>
  <c r="R20" i="62"/>
  <c r="R15" i="62"/>
  <c r="R105" i="62"/>
  <c r="R92" i="62"/>
  <c r="R89" i="62"/>
  <c r="R36" i="62"/>
  <c r="R24" i="62"/>
  <c r="X12" i="62"/>
  <c r="R103" i="62"/>
  <c r="R94" i="62"/>
  <c r="R85" i="62"/>
  <c r="R77" i="62"/>
  <c r="R73" i="62"/>
  <c r="R69" i="62"/>
  <c r="R66" i="62"/>
  <c r="R61" i="62"/>
  <c r="R58" i="62"/>
  <c r="R53" i="62"/>
  <c r="R49" i="62"/>
  <c r="R46" i="62"/>
  <c r="R41" i="62"/>
  <c r="R33" i="62"/>
  <c r="R29" i="62"/>
  <c r="R21" i="62"/>
  <c r="R19" i="62"/>
  <c r="P17" i="62"/>
  <c r="R108" i="62"/>
  <c r="R101" i="62"/>
  <c r="R88" i="62"/>
  <c r="R84" i="62"/>
  <c r="R76" i="62"/>
  <c r="R72" i="62"/>
  <c r="R52" i="62"/>
  <c r="R40" i="62"/>
  <c r="R32" i="62"/>
  <c r="R28" i="62"/>
  <c r="R14" i="62"/>
  <c r="R25" i="62"/>
  <c r="R26" i="62"/>
  <c r="R30" i="62"/>
  <c r="R42" i="62"/>
  <c r="F53" i="62"/>
  <c r="F55" i="62"/>
  <c r="N56" i="62"/>
  <c r="V64" i="62"/>
  <c r="F77" i="62"/>
  <c r="F79" i="62"/>
  <c r="F85" i="62"/>
  <c r="F86" i="62"/>
  <c r="V93" i="62"/>
  <c r="R95" i="62"/>
  <c r="R97" i="62"/>
  <c r="L15" i="63"/>
  <c r="D12" i="63"/>
  <c r="V53" i="63"/>
  <c r="Z74" i="63"/>
  <c r="X74" i="63"/>
  <c r="N81" i="63"/>
  <c r="Z12" i="59"/>
  <c r="R14" i="59"/>
  <c r="V24" i="59"/>
  <c r="R25" i="59"/>
  <c r="V36" i="59"/>
  <c r="R37" i="59"/>
  <c r="V40" i="59"/>
  <c r="R41" i="59"/>
  <c r="V44" i="59"/>
  <c r="T16" i="60"/>
  <c r="J19" i="60"/>
  <c r="V21" i="60"/>
  <c r="R22" i="60"/>
  <c r="J25" i="60"/>
  <c r="V33" i="60"/>
  <c r="R34" i="60"/>
  <c r="J37" i="60"/>
  <c r="J41" i="60"/>
  <c r="R46" i="60"/>
  <c r="J47" i="60"/>
  <c r="J56" i="60"/>
  <c r="X12" i="61"/>
  <c r="V14" i="61"/>
  <c r="L18" i="61"/>
  <c r="N18" i="61" s="1"/>
  <c r="V19" i="61"/>
  <c r="R32" i="61"/>
  <c r="V38" i="61"/>
  <c r="V39" i="61"/>
  <c r="V42" i="61"/>
  <c r="R51" i="61"/>
  <c r="V90" i="62"/>
  <c r="V82" i="62"/>
  <c r="V78" i="62"/>
  <c r="V70" i="62"/>
  <c r="V62" i="62"/>
  <c r="V54" i="62"/>
  <c r="V42" i="62"/>
  <c r="V38" i="62"/>
  <c r="V26" i="62"/>
  <c r="V14" i="62"/>
  <c r="V95" i="62"/>
  <c r="V91" i="62"/>
  <c r="V67" i="62"/>
  <c r="V59" i="62"/>
  <c r="V47" i="62"/>
  <c r="V35" i="62"/>
  <c r="V23" i="62"/>
  <c r="V19" i="62"/>
  <c r="V17" i="62"/>
  <c r="V88" i="62"/>
  <c r="V84" i="62"/>
  <c r="V76" i="62"/>
  <c r="V72" i="62"/>
  <c r="V68" i="62"/>
  <c r="V60" i="62"/>
  <c r="V52" i="62"/>
  <c r="V48" i="62"/>
  <c r="V40" i="62"/>
  <c r="V32" i="62"/>
  <c r="V28" i="62"/>
  <c r="V20" i="62"/>
  <c r="V97" i="62"/>
  <c r="V87" i="62"/>
  <c r="V83" i="62"/>
  <c r="V79" i="62"/>
  <c r="V75" i="62"/>
  <c r="V71" i="62"/>
  <c r="V63" i="62"/>
  <c r="V55" i="62"/>
  <c r="V51" i="62"/>
  <c r="V43" i="62"/>
  <c r="V39" i="62"/>
  <c r="V31" i="62"/>
  <c r="V27" i="62"/>
  <c r="V15" i="62"/>
  <c r="Z14" i="62"/>
  <c r="X14" i="62"/>
  <c r="V25" i="62"/>
  <c r="V30" i="62"/>
  <c r="L44" i="62"/>
  <c r="N44" i="62" s="1"/>
  <c r="F46" i="62"/>
  <c r="F49" i="62"/>
  <c r="F50" i="62"/>
  <c r="R57" i="62"/>
  <c r="R59" i="62"/>
  <c r="V61" i="62"/>
  <c r="R62" i="62"/>
  <c r="V66" i="62"/>
  <c r="F71" i="62"/>
  <c r="R81" i="62"/>
  <c r="R82" i="62"/>
  <c r="N87" i="62"/>
  <c r="V92" i="62"/>
  <c r="R98" i="62"/>
  <c r="R99" i="62"/>
  <c r="T86" i="63"/>
  <c r="X42" i="63"/>
  <c r="Z42" i="63" s="1"/>
  <c r="N55" i="63"/>
  <c r="L76" i="63"/>
  <c r="N76" i="63" s="1"/>
  <c r="V65" i="60"/>
  <c r="V60" i="60"/>
  <c r="V58" i="60"/>
  <c r="V54" i="60"/>
  <c r="V16" i="60"/>
  <c r="V18" i="60"/>
  <c r="V22" i="60"/>
  <c r="R23" i="60"/>
  <c r="J26" i="60"/>
  <c r="J30" i="60"/>
  <c r="V34" i="60"/>
  <c r="R35" i="60"/>
  <c r="J38" i="60"/>
  <c r="R40" i="60"/>
  <c r="V42" i="60"/>
  <c r="R43" i="60"/>
  <c r="J44" i="60"/>
  <c r="V46" i="60"/>
  <c r="J50" i="60"/>
  <c r="X53" i="60"/>
  <c r="Z53" i="60" s="1"/>
  <c r="J58" i="60"/>
  <c r="J60" i="60"/>
  <c r="R27" i="61"/>
  <c r="R28" i="61"/>
  <c r="R31" i="61"/>
  <c r="R40" i="61"/>
  <c r="L44" i="61"/>
  <c r="N44" i="61" s="1"/>
  <c r="V51" i="61"/>
  <c r="V55" i="61"/>
  <c r="V29" i="62"/>
  <c r="R31" i="62"/>
  <c r="R37" i="62"/>
  <c r="F44" i="62"/>
  <c r="R56" i="62"/>
  <c r="V57" i="62"/>
  <c r="Z62" i="62"/>
  <c r="L64" i="62"/>
  <c r="N64" i="62" s="1"/>
  <c r="F66" i="62"/>
  <c r="Z66" i="62"/>
  <c r="F74" i="62"/>
  <c r="R80" i="62"/>
  <c r="V81" i="62"/>
  <c r="X89" i="62"/>
  <c r="Z89" i="62" s="1"/>
  <c r="R90" i="62"/>
  <c r="R91" i="62"/>
  <c r="V98" i="62"/>
  <c r="V99" i="62"/>
  <c r="F103" i="62"/>
  <c r="F105" i="62"/>
  <c r="X18" i="63"/>
  <c r="Z18" i="63" s="1"/>
  <c r="V30" i="63"/>
  <c r="J55" i="63"/>
  <c r="F33" i="61"/>
  <c r="F40" i="61"/>
  <c r="F45" i="61"/>
  <c r="F52" i="61"/>
  <c r="J23" i="62"/>
  <c r="J35" i="62"/>
  <c r="J47" i="62"/>
  <c r="J59" i="62"/>
  <c r="J67" i="62"/>
  <c r="J89" i="62"/>
  <c r="J95" i="62"/>
  <c r="J105" i="62"/>
  <c r="V22" i="63"/>
  <c r="J26" i="63"/>
  <c r="X33" i="63"/>
  <c r="Z33" i="63" s="1"/>
  <c r="V34" i="63"/>
  <c r="J38" i="63"/>
  <c r="N42" i="63"/>
  <c r="V46" i="63"/>
  <c r="J50" i="63"/>
  <c r="J54" i="63"/>
  <c r="X57" i="63"/>
  <c r="Z57" i="63" s="1"/>
  <c r="V58" i="63"/>
  <c r="L59" i="63"/>
  <c r="V66" i="63"/>
  <c r="J68" i="63"/>
  <c r="V70" i="63"/>
  <c r="L71" i="63"/>
  <c r="J78" i="63"/>
  <c r="V82" i="63"/>
  <c r="V88" i="63"/>
  <c r="N12" i="64"/>
  <c r="J18" i="64"/>
  <c r="J20" i="64"/>
  <c r="H22" i="64"/>
  <c r="L28" i="64"/>
  <c r="L31" i="64"/>
  <c r="J32" i="64"/>
  <c r="N37" i="64"/>
  <c r="L49" i="64"/>
  <c r="J80" i="65"/>
  <c r="J76" i="65"/>
  <c r="J72" i="65"/>
  <c r="J58" i="65"/>
  <c r="J48" i="65"/>
  <c r="J44" i="65"/>
  <c r="J36" i="65"/>
  <c r="J87" i="65"/>
  <c r="J83" i="65"/>
  <c r="J79" i="65"/>
  <c r="J69" i="65"/>
  <c r="J63" i="65"/>
  <c r="J55" i="65"/>
  <c r="J47" i="65"/>
  <c r="J43" i="65"/>
  <c r="J35" i="65"/>
  <c r="J31" i="65"/>
  <c r="J23" i="65"/>
  <c r="J89" i="65"/>
  <c r="J82" i="65"/>
  <c r="J66" i="65"/>
  <c r="J60" i="65"/>
  <c r="J54" i="65"/>
  <c r="J46" i="65"/>
  <c r="J42" i="65"/>
  <c r="H31" i="65"/>
  <c r="J22" i="65"/>
  <c r="J85" i="65"/>
  <c r="J75" i="65"/>
  <c r="J71" i="65"/>
  <c r="J65" i="65"/>
  <c r="J57" i="65"/>
  <c r="J53" i="65"/>
  <c r="J41" i="65"/>
  <c r="J33" i="65"/>
  <c r="J29" i="65"/>
  <c r="J21" i="65"/>
  <c r="J78" i="65"/>
  <c r="J68" i="65"/>
  <c r="J62" i="65"/>
  <c r="J52" i="65"/>
  <c r="J40" i="65"/>
  <c r="J34" i="65"/>
  <c r="J28" i="65"/>
  <c r="J84" i="65"/>
  <c r="J74" i="65"/>
  <c r="J70" i="65"/>
  <c r="J64" i="65"/>
  <c r="J56" i="65"/>
  <c r="J50" i="65"/>
  <c r="J38" i="65"/>
  <c r="J26" i="65"/>
  <c r="J90" i="65"/>
  <c r="J77" i="65"/>
  <c r="J73" i="65"/>
  <c r="J67" i="65"/>
  <c r="J61" i="65"/>
  <c r="J49" i="65"/>
  <c r="J37" i="65"/>
  <c r="Z34" i="65"/>
  <c r="V55" i="65"/>
  <c r="Z62" i="65"/>
  <c r="N64" i="65"/>
  <c r="Z69" i="65"/>
  <c r="V75" i="65"/>
  <c r="J91" i="65"/>
  <c r="D12" i="67"/>
  <c r="L16" i="67"/>
  <c r="F22" i="61"/>
  <c r="F29" i="61"/>
  <c r="F34" i="61"/>
  <c r="F46" i="61"/>
  <c r="F49" i="61"/>
  <c r="F57" i="61"/>
  <c r="F64" i="61"/>
  <c r="N12" i="62"/>
  <c r="J14" i="62"/>
  <c r="J24" i="62"/>
  <c r="J36" i="62"/>
  <c r="J42" i="62"/>
  <c r="J54" i="62"/>
  <c r="J62" i="62"/>
  <c r="J70" i="62"/>
  <c r="J78" i="62"/>
  <c r="J92" i="62"/>
  <c r="J99" i="62"/>
  <c r="J33" i="63"/>
  <c r="V35" i="63"/>
  <c r="J39" i="63"/>
  <c r="J43" i="63"/>
  <c r="V47" i="63"/>
  <c r="J51" i="63"/>
  <c r="V55" i="63"/>
  <c r="J57" i="63"/>
  <c r="N59" i="63"/>
  <c r="J63" i="63"/>
  <c r="V67" i="63"/>
  <c r="N71" i="63"/>
  <c r="J75" i="63"/>
  <c r="J79" i="63"/>
  <c r="V84" i="63"/>
  <c r="P12" i="64"/>
  <c r="Z24" i="64"/>
  <c r="J27" i="64"/>
  <c r="J39" i="64"/>
  <c r="J40" i="64"/>
  <c r="V95" i="65"/>
  <c r="V88" i="65"/>
  <c r="V84" i="65"/>
  <c r="V68" i="65"/>
  <c r="V64" i="65"/>
  <c r="V56" i="65"/>
  <c r="V52" i="65"/>
  <c r="V40" i="65"/>
  <c r="V28" i="65"/>
  <c r="V91" i="65"/>
  <c r="V67" i="65"/>
  <c r="V59" i="65"/>
  <c r="V51" i="65"/>
  <c r="V39" i="65"/>
  <c r="V27" i="65"/>
  <c r="V19" i="65"/>
  <c r="V74" i="65"/>
  <c r="V70" i="65"/>
  <c r="V58" i="65"/>
  <c r="V50" i="65"/>
  <c r="V38" i="65"/>
  <c r="V26" i="65"/>
  <c r="V90" i="65"/>
  <c r="V87" i="65"/>
  <c r="V77" i="65"/>
  <c r="V73" i="65"/>
  <c r="V69" i="65"/>
  <c r="V61" i="65"/>
  <c r="V49" i="65"/>
  <c r="V37" i="65"/>
  <c r="V33" i="65"/>
  <c r="V25" i="65"/>
  <c r="V80" i="65"/>
  <c r="V76" i="65"/>
  <c r="V72" i="65"/>
  <c r="V60" i="65"/>
  <c r="V48" i="65"/>
  <c r="V44" i="65"/>
  <c r="V36" i="65"/>
  <c r="T31" i="65"/>
  <c r="V82" i="65"/>
  <c r="V78" i="65"/>
  <c r="V66" i="65"/>
  <c r="V62" i="65"/>
  <c r="V54" i="65"/>
  <c r="V46" i="65"/>
  <c r="V42" i="65"/>
  <c r="V34" i="65"/>
  <c r="V22" i="65"/>
  <c r="V85" i="65"/>
  <c r="V81" i="65"/>
  <c r="V65" i="65"/>
  <c r="V57" i="65"/>
  <c r="V53" i="65"/>
  <c r="V45" i="65"/>
  <c r="V41" i="65"/>
  <c r="L19" i="65"/>
  <c r="N19" i="65" s="1"/>
  <c r="V23" i="65"/>
  <c r="V24" i="65"/>
  <c r="V29" i="65"/>
  <c r="X33" i="65"/>
  <c r="Z33" i="65" s="1"/>
  <c r="V47" i="65"/>
  <c r="X79" i="67"/>
  <c r="Z79" i="67"/>
  <c r="V79" i="67"/>
  <c r="J23" i="68"/>
  <c r="H75" i="68"/>
  <c r="F25" i="61"/>
  <c r="F37" i="61"/>
  <c r="F41" i="61"/>
  <c r="F44" i="61"/>
  <c r="F53" i="61"/>
  <c r="F59" i="61"/>
  <c r="J15" i="62"/>
  <c r="J19" i="62"/>
  <c r="J27" i="62"/>
  <c r="J39" i="62"/>
  <c r="J43" i="62"/>
  <c r="J55" i="62"/>
  <c r="J63" i="62"/>
  <c r="J71" i="62"/>
  <c r="J79" i="62"/>
  <c r="J83" i="62"/>
  <c r="J101" i="62"/>
  <c r="J108" i="62"/>
  <c r="V18" i="63"/>
  <c r="J22" i="63"/>
  <c r="V26" i="63"/>
  <c r="J30" i="63"/>
  <c r="J34" i="63"/>
  <c r="V38" i="63"/>
  <c r="V42" i="63"/>
  <c r="J46" i="63"/>
  <c r="V50" i="63"/>
  <c r="V54" i="63"/>
  <c r="J58" i="63"/>
  <c r="V62" i="63"/>
  <c r="J64" i="63"/>
  <c r="J70" i="63"/>
  <c r="V74" i="63"/>
  <c r="J76" i="63"/>
  <c r="V78" i="63"/>
  <c r="J81" i="63"/>
  <c r="J24" i="64"/>
  <c r="J29" i="64"/>
  <c r="J34" i="64"/>
  <c r="J41" i="64"/>
  <c r="J42" i="64"/>
  <c r="J45" i="64"/>
  <c r="Z54" i="64"/>
  <c r="X54" i="64"/>
  <c r="L57" i="64"/>
  <c r="J59" i="64"/>
  <c r="V63" i="65"/>
  <c r="N78" i="65"/>
  <c r="J81" i="65"/>
  <c r="L25" i="68"/>
  <c r="J36" i="68"/>
  <c r="V43" i="63"/>
  <c r="J47" i="63"/>
  <c r="V51" i="63"/>
  <c r="J53" i="63"/>
  <c r="V59" i="63"/>
  <c r="V63" i="63"/>
  <c r="J67" i="63"/>
  <c r="V71" i="63"/>
  <c r="V75" i="63"/>
  <c r="V79" i="63"/>
  <c r="J82" i="63"/>
  <c r="J84" i="63"/>
  <c r="J88" i="63"/>
  <c r="J35" i="64"/>
  <c r="L52" i="64"/>
  <c r="V21" i="65"/>
  <c r="L34" i="65"/>
  <c r="V35" i="65"/>
  <c r="N56" i="65"/>
  <c r="L62" i="65"/>
  <c r="N62" i="65" s="1"/>
  <c r="V42" i="67"/>
  <c r="J25" i="68"/>
  <c r="N25" i="68"/>
  <c r="N34" i="65"/>
  <c r="X19" i="68"/>
  <c r="Z19" i="68"/>
  <c r="V19" i="68"/>
  <c r="F32" i="61"/>
  <c r="J22" i="62"/>
  <c r="J30" i="62"/>
  <c r="J34" i="62"/>
  <c r="J44" i="62"/>
  <c r="J50" i="62"/>
  <c r="J56" i="62"/>
  <c r="J64" i="62"/>
  <c r="J74" i="62"/>
  <c r="J80" i="62"/>
  <c r="J54" i="64"/>
  <c r="J48" i="64"/>
  <c r="J44" i="64"/>
  <c r="J36" i="64"/>
  <c r="J51" i="64"/>
  <c r="J50" i="64"/>
  <c r="J38" i="64"/>
  <c r="J30" i="64"/>
  <c r="J26" i="64"/>
  <c r="J22" i="64"/>
  <c r="J61" i="64"/>
  <c r="J55" i="64"/>
  <c r="J49" i="64"/>
  <c r="J37" i="64"/>
  <c r="J25" i="64"/>
  <c r="J19" i="64"/>
  <c r="J31" i="64"/>
  <c r="J46" i="64"/>
  <c r="J47" i="64"/>
  <c r="J52" i="64"/>
  <c r="J53" i="64"/>
  <c r="J66" i="64"/>
  <c r="D12" i="65"/>
  <c r="N33" i="65"/>
  <c r="Z60" i="65"/>
  <c r="Z87" i="65"/>
  <c r="N23" i="73"/>
  <c r="J110" i="67"/>
  <c r="J101" i="67"/>
  <c r="J97" i="67"/>
  <c r="J93" i="67"/>
  <c r="J89" i="67"/>
  <c r="J83" i="67"/>
  <c r="J77" i="67"/>
  <c r="J69" i="67"/>
  <c r="J57" i="67"/>
  <c r="J45" i="67"/>
  <c r="J96" i="67"/>
  <c r="J80" i="67"/>
  <c r="J74" i="67"/>
  <c r="J66" i="67"/>
  <c r="J56" i="67"/>
  <c r="J52" i="67"/>
  <c r="J44" i="67"/>
  <c r="J32" i="67"/>
  <c r="J24" i="67"/>
  <c r="J107" i="67"/>
  <c r="J103" i="67"/>
  <c r="J85" i="67"/>
  <c r="J71" i="67"/>
  <c r="J63" i="67"/>
  <c r="J55" i="67"/>
  <c r="J51" i="67"/>
  <c r="H40" i="67"/>
  <c r="J31" i="67"/>
  <c r="J23" i="67"/>
  <c r="J102" i="67"/>
  <c r="J84" i="67"/>
  <c r="X14" i="67"/>
  <c r="P12" i="67"/>
  <c r="J25" i="67"/>
  <c r="J33" i="67"/>
  <c r="J59" i="67"/>
  <c r="J60" i="67"/>
  <c r="J64" i="67"/>
  <c r="L68" i="67"/>
  <c r="J72" i="67"/>
  <c r="J76" i="67"/>
  <c r="N95" i="67"/>
  <c r="R68" i="68"/>
  <c r="R60" i="68"/>
  <c r="R53" i="68"/>
  <c r="R67" i="68"/>
  <c r="R63" i="68"/>
  <c r="R59" i="68"/>
  <c r="R56" i="68"/>
  <c r="R70" i="68"/>
  <c r="R66" i="68"/>
  <c r="R50" i="68"/>
  <c r="R73" i="68"/>
  <c r="R65" i="68"/>
  <c r="R62" i="68"/>
  <c r="R64" i="68"/>
  <c r="R61" i="68"/>
  <c r="R57" i="68"/>
  <c r="R47" i="68"/>
  <c r="R42" i="68"/>
  <c r="R30" i="68"/>
  <c r="R19" i="68"/>
  <c r="R41" i="68"/>
  <c r="R29" i="68"/>
  <c r="R54" i="68"/>
  <c r="R49" i="68"/>
  <c r="R40" i="68"/>
  <c r="R28" i="68"/>
  <c r="R58" i="68"/>
  <c r="R45" i="68"/>
  <c r="R37" i="68"/>
  <c r="R33" i="68"/>
  <c r="R26" i="68"/>
  <c r="R21" i="68"/>
  <c r="R20" i="68"/>
  <c r="R32" i="68"/>
  <c r="R43" i="68"/>
  <c r="R69" i="68"/>
  <c r="V27" i="72"/>
  <c r="V21" i="72"/>
  <c r="V17" i="72"/>
  <c r="V16" i="72"/>
  <c r="V23" i="72"/>
  <c r="T19" i="72"/>
  <c r="V19" i="72" s="1"/>
  <c r="R92" i="74"/>
  <c r="R86" i="74"/>
  <c r="R88" i="74"/>
  <c r="R83" i="74"/>
  <c r="R80" i="74"/>
  <c r="R76" i="74"/>
  <c r="R55" i="74"/>
  <c r="R52" i="74"/>
  <c r="R47" i="74"/>
  <c r="R39" i="74"/>
  <c r="R35" i="74"/>
  <c r="R66" i="74"/>
  <c r="R63" i="74"/>
  <c r="R58" i="74"/>
  <c r="R46" i="74"/>
  <c r="R38" i="74"/>
  <c r="R34" i="74"/>
  <c r="R27" i="74"/>
  <c r="R22" i="74"/>
  <c r="R82" i="74"/>
  <c r="R69" i="74"/>
  <c r="R57" i="74"/>
  <c r="R54" i="74"/>
  <c r="R49" i="74"/>
  <c r="R45" i="74"/>
  <c r="R33" i="74"/>
  <c r="R21" i="74"/>
  <c r="R85" i="74"/>
  <c r="R72" i="74"/>
  <c r="R68" i="74"/>
  <c r="R65" i="74"/>
  <c r="R60" i="74"/>
  <c r="R44" i="74"/>
  <c r="R37" i="74"/>
  <c r="R32" i="74"/>
  <c r="R20" i="74"/>
  <c r="X12" i="74"/>
  <c r="R81" i="74"/>
  <c r="R77" i="74"/>
  <c r="R70" i="74"/>
  <c r="R53" i="74"/>
  <c r="R50" i="74"/>
  <c r="R41" i="74"/>
  <c r="R29" i="74"/>
  <c r="R24" i="74"/>
  <c r="R18" i="74"/>
  <c r="R84" i="74"/>
  <c r="R73" i="74"/>
  <c r="R64" i="74"/>
  <c r="R61" i="74"/>
  <c r="R40" i="74"/>
  <c r="R36" i="74"/>
  <c r="R28" i="74"/>
  <c r="R26" i="74"/>
  <c r="P24" i="74"/>
  <c r="R78" i="74"/>
  <c r="R31" i="74"/>
  <c r="R19" i="74"/>
  <c r="R79" i="74"/>
  <c r="R74" i="74"/>
  <c r="R75" i="74"/>
  <c r="R67" i="74"/>
  <c r="R62" i="74"/>
  <c r="R59" i="74"/>
  <c r="R42" i="74"/>
  <c r="R43" i="74"/>
  <c r="R71" i="74"/>
  <c r="R56" i="74"/>
  <c r="R30" i="74"/>
  <c r="T22" i="64"/>
  <c r="V27" i="64"/>
  <c r="V35" i="64"/>
  <c r="V43" i="64"/>
  <c r="V47" i="64"/>
  <c r="V51" i="64"/>
  <c r="V57" i="64"/>
  <c r="V63" i="64"/>
  <c r="J19" i="67"/>
  <c r="J21" i="67"/>
  <c r="J22" i="67"/>
  <c r="J26" i="67"/>
  <c r="J29" i="67"/>
  <c r="J30" i="67"/>
  <c r="J34" i="67"/>
  <c r="J37" i="67"/>
  <c r="J38" i="67"/>
  <c r="V43" i="67"/>
  <c r="J49" i="67"/>
  <c r="J50" i="67"/>
  <c r="J53" i="67"/>
  <c r="J65" i="67"/>
  <c r="J67" i="67"/>
  <c r="J73" i="67"/>
  <c r="X83" i="67"/>
  <c r="L92" i="67"/>
  <c r="N92" i="67" s="1"/>
  <c r="J95" i="67"/>
  <c r="V26" i="68"/>
  <c r="R31" i="68"/>
  <c r="L36" i="68"/>
  <c r="N36" i="68" s="1"/>
  <c r="V47" i="68"/>
  <c r="F23" i="69"/>
  <c r="F69" i="69"/>
  <c r="F72" i="69"/>
  <c r="T75" i="71"/>
  <c r="X24" i="73"/>
  <c r="Z24" i="73" s="1"/>
  <c r="R24" i="73"/>
  <c r="X25" i="75"/>
  <c r="Z25" i="75" s="1"/>
  <c r="R25" i="75"/>
  <c r="D87" i="65"/>
  <c r="L87" i="65" s="1"/>
  <c r="N87" i="65" s="1"/>
  <c r="J42" i="67"/>
  <c r="J54" i="67"/>
  <c r="J68" i="67"/>
  <c r="Z83" i="67"/>
  <c r="J92" i="67"/>
  <c r="J114" i="67"/>
  <c r="R38" i="68"/>
  <c r="R52" i="68"/>
  <c r="J19" i="69"/>
  <c r="H31" i="69"/>
  <c r="V18" i="64"/>
  <c r="V34" i="64"/>
  <c r="V42" i="64"/>
  <c r="V54" i="64"/>
  <c r="X19" i="67"/>
  <c r="Z19" i="67" s="1"/>
  <c r="X42" i="67"/>
  <c r="Z42" i="67" s="1"/>
  <c r="N43" i="67"/>
  <c r="V74" i="67"/>
  <c r="X76" i="67"/>
  <c r="J78" i="67"/>
  <c r="J86" i="67"/>
  <c r="L88" i="67"/>
  <c r="N88" i="67" s="1"/>
  <c r="J98" i="67"/>
  <c r="L100" i="67"/>
  <c r="N100" i="67" s="1"/>
  <c r="R34" i="68"/>
  <c r="R39" i="68"/>
  <c r="N47" i="68"/>
  <c r="X22" i="71"/>
  <c r="Z22" i="71" s="1"/>
  <c r="X49" i="71"/>
  <c r="Z49" i="71" s="1"/>
  <c r="V49" i="71"/>
  <c r="X69" i="65"/>
  <c r="L71" i="65"/>
  <c r="N71" i="65" s="1"/>
  <c r="L75" i="65"/>
  <c r="N75" i="65" s="1"/>
  <c r="T112" i="67"/>
  <c r="J43" i="67"/>
  <c r="J70" i="67"/>
  <c r="Z76" i="67"/>
  <c r="J87" i="67"/>
  <c r="J99" i="67"/>
  <c r="P107" i="67"/>
  <c r="X107" i="67" s="1"/>
  <c r="J108" i="67"/>
  <c r="J109" i="67"/>
  <c r="D12" i="68"/>
  <c r="P23" i="68"/>
  <c r="R35" i="68"/>
  <c r="R36" i="68"/>
  <c r="R46" i="68"/>
  <c r="R51" i="68"/>
  <c r="F66" i="69"/>
  <c r="F63" i="69"/>
  <c r="F75" i="69"/>
  <c r="F68" i="69"/>
  <c r="F65" i="69"/>
  <c r="F60" i="69"/>
  <c r="F57" i="69"/>
  <c r="F53" i="69"/>
  <c r="F41" i="69"/>
  <c r="D31" i="69"/>
  <c r="F29" i="69"/>
  <c r="F21" i="69"/>
  <c r="F77" i="69"/>
  <c r="F71" i="69"/>
  <c r="F52" i="69"/>
  <c r="F40" i="69"/>
  <c r="F28" i="69"/>
  <c r="F20" i="69"/>
  <c r="F67" i="69"/>
  <c r="F62" i="69"/>
  <c r="F59" i="69"/>
  <c r="F51" i="69"/>
  <c r="F39" i="69"/>
  <c r="F34" i="69"/>
  <c r="F33" i="69"/>
  <c r="F27" i="69"/>
  <c r="F70" i="69"/>
  <c r="F50" i="69"/>
  <c r="F45" i="69"/>
  <c r="F38" i="69"/>
  <c r="F26" i="69"/>
  <c r="F47" i="69"/>
  <c r="F36" i="69"/>
  <c r="F54" i="69"/>
  <c r="F42" i="69"/>
  <c r="F61" i="69"/>
  <c r="F56" i="69"/>
  <c r="F55" i="69"/>
  <c r="F48" i="69"/>
  <c r="F43" i="69"/>
  <c r="F37" i="69"/>
  <c r="F31" i="69"/>
  <c r="F22" i="69"/>
  <c r="F58" i="69"/>
  <c r="F44" i="69"/>
  <c r="F24" i="69"/>
  <c r="L12" i="69"/>
  <c r="N12" i="69" s="1"/>
  <c r="F25" i="69"/>
  <c r="X19" i="69"/>
  <c r="Z19" i="69" s="1"/>
  <c r="Z33" i="69"/>
  <c r="N60" i="69"/>
  <c r="L60" i="69"/>
  <c r="J60" i="69"/>
  <c r="N63" i="71"/>
  <c r="L63" i="71"/>
  <c r="J63" i="71"/>
  <c r="R51" i="74"/>
  <c r="P12" i="65"/>
  <c r="V40" i="67"/>
  <c r="V66" i="67"/>
  <c r="L76" i="67"/>
  <c r="N76" i="67" s="1"/>
  <c r="J88" i="67"/>
  <c r="J100" i="67"/>
  <c r="J105" i="67"/>
  <c r="R25" i="68"/>
  <c r="R48" i="68"/>
  <c r="F35" i="69"/>
  <c r="R48" i="74"/>
  <c r="L42" i="67"/>
  <c r="N42" i="67" s="1"/>
  <c r="J58" i="67"/>
  <c r="J61" i="67"/>
  <c r="J62" i="67"/>
  <c r="J75" i="67"/>
  <c r="J79" i="67"/>
  <c r="J81" i="67"/>
  <c r="J82" i="67"/>
  <c r="J94" i="67"/>
  <c r="J104" i="67"/>
  <c r="Z107" i="67"/>
  <c r="X26" i="68"/>
  <c r="Z26" i="68" s="1"/>
  <c r="R27" i="68"/>
  <c r="R44" i="68"/>
  <c r="R55" i="68"/>
  <c r="L72" i="68"/>
  <c r="R77" i="68"/>
  <c r="P12" i="69"/>
  <c r="V56" i="69"/>
  <c r="N58" i="69"/>
  <c r="J58" i="69"/>
  <c r="V74" i="69"/>
  <c r="F82" i="74"/>
  <c r="F79" i="74"/>
  <c r="F75" i="74"/>
  <c r="F71" i="74"/>
  <c r="F54" i="74"/>
  <c r="F51" i="74"/>
  <c r="F43" i="74"/>
  <c r="F31" i="74"/>
  <c r="F19" i="74"/>
  <c r="F85" i="74"/>
  <c r="F78" i="74"/>
  <c r="F74" i="74"/>
  <c r="F65" i="74"/>
  <c r="F62" i="74"/>
  <c r="F42" i="74"/>
  <c r="F37" i="74"/>
  <c r="F30" i="74"/>
  <c r="F92" i="74"/>
  <c r="F81" i="74"/>
  <c r="F77" i="74"/>
  <c r="F56" i="74"/>
  <c r="F53" i="74"/>
  <c r="F48" i="74"/>
  <c r="F41" i="74"/>
  <c r="F29" i="74"/>
  <c r="F84" i="74"/>
  <c r="F67" i="74"/>
  <c r="F64" i="74"/>
  <c r="F59" i="74"/>
  <c r="F40" i="74"/>
  <c r="F36" i="74"/>
  <c r="F28" i="74"/>
  <c r="F88" i="74"/>
  <c r="F80" i="74"/>
  <c r="F76" i="74"/>
  <c r="F69" i="74"/>
  <c r="F57" i="74"/>
  <c r="F52" i="74"/>
  <c r="F49" i="74"/>
  <c r="F45" i="74"/>
  <c r="F33" i="74"/>
  <c r="F21" i="74"/>
  <c r="F72" i="74"/>
  <c r="F68" i="74"/>
  <c r="F63" i="74"/>
  <c r="F60" i="74"/>
  <c r="F44" i="74"/>
  <c r="F32" i="74"/>
  <c r="F27" i="74"/>
  <c r="F26" i="74"/>
  <c r="F20" i="74"/>
  <c r="L12" i="74"/>
  <c r="F47" i="74"/>
  <c r="F18" i="74"/>
  <c r="F86" i="74"/>
  <c r="F83" i="74"/>
  <c r="F22" i="74"/>
  <c r="F73" i="74"/>
  <c r="F66" i="74"/>
  <c r="F61" i="74"/>
  <c r="F38" i="74"/>
  <c r="F34" i="74"/>
  <c r="F39" i="74"/>
  <c r="F35" i="74"/>
  <c r="D24" i="74"/>
  <c r="F24" i="74" s="1"/>
  <c r="F70" i="74"/>
  <c r="F58" i="74"/>
  <c r="F55" i="74"/>
  <c r="F50" i="74"/>
  <c r="F46" i="74"/>
  <c r="V100" i="67"/>
  <c r="V67" i="68"/>
  <c r="V63" i="68"/>
  <c r="V59" i="68"/>
  <c r="V70" i="68"/>
  <c r="V66" i="68"/>
  <c r="V62" i="68"/>
  <c r="V58" i="68"/>
  <c r="V50" i="68"/>
  <c r="V73" i="68"/>
  <c r="V69" i="68"/>
  <c r="V65" i="68"/>
  <c r="V49" i="68"/>
  <c r="V64" i="68"/>
  <c r="V20" i="68"/>
  <c r="V32" i="68"/>
  <c r="V36" i="68"/>
  <c r="V44" i="68"/>
  <c r="V48" i="68"/>
  <c r="N51" i="68"/>
  <c r="Z69" i="68"/>
  <c r="L58" i="69"/>
  <c r="L51" i="71"/>
  <c r="N51" i="71" s="1"/>
  <c r="Z53" i="71"/>
  <c r="X86" i="73"/>
  <c r="R86" i="73"/>
  <c r="Z64" i="69"/>
  <c r="P74" i="69"/>
  <c r="X74" i="69" s="1"/>
  <c r="Z74" i="69" s="1"/>
  <c r="X77" i="69"/>
  <c r="Z77" i="69" s="1"/>
  <c r="X42" i="78"/>
  <c r="Z42" i="78" s="1"/>
  <c r="V19" i="67"/>
  <c r="V27" i="67"/>
  <c r="V35" i="67"/>
  <c r="V47" i="67"/>
  <c r="V59" i="67"/>
  <c r="V67" i="67"/>
  <c r="V75" i="67"/>
  <c r="V83" i="67"/>
  <c r="V87" i="67"/>
  <c r="V91" i="67"/>
  <c r="V99" i="67"/>
  <c r="V27" i="68"/>
  <c r="J31" i="68"/>
  <c r="V35" i="68"/>
  <c r="V39" i="68"/>
  <c r="J43" i="68"/>
  <c r="Z51" i="68"/>
  <c r="V52" i="68"/>
  <c r="V55" i="68"/>
  <c r="P72" i="68"/>
  <c r="X72" i="68" s="1"/>
  <c r="Z72" i="68" s="1"/>
  <c r="X73" i="68"/>
  <c r="Z73" i="68" s="1"/>
  <c r="V19" i="69"/>
  <c r="V26" i="69"/>
  <c r="V33" i="69"/>
  <c r="V39" i="69"/>
  <c r="N66" i="69"/>
  <c r="L22" i="71"/>
  <c r="N22" i="71" s="1"/>
  <c r="N23" i="71"/>
  <c r="L23" i="71"/>
  <c r="D12" i="73"/>
  <c r="X60" i="73"/>
  <c r="Z60" i="73" s="1"/>
  <c r="R60" i="73"/>
  <c r="X18" i="78"/>
  <c r="V20" i="67"/>
  <c r="V28" i="67"/>
  <c r="V36" i="67"/>
  <c r="V48" i="67"/>
  <c r="V60" i="67"/>
  <c r="V64" i="67"/>
  <c r="V72" i="67"/>
  <c r="V84" i="67"/>
  <c r="V104" i="67"/>
  <c r="V108" i="67"/>
  <c r="J69" i="68"/>
  <c r="J55" i="68"/>
  <c r="J64" i="68"/>
  <c r="J54" i="68"/>
  <c r="J77" i="68"/>
  <c r="J61" i="68"/>
  <c r="J57" i="68"/>
  <c r="J51" i="68"/>
  <c r="J72" i="68"/>
  <c r="J68" i="68"/>
  <c r="J20" i="68"/>
  <c r="T23" i="68"/>
  <c r="J26" i="68"/>
  <c r="V28" i="68"/>
  <c r="J32" i="68"/>
  <c r="V40" i="68"/>
  <c r="J44" i="68"/>
  <c r="J48" i="68"/>
  <c r="V51" i="68"/>
  <c r="V54" i="68"/>
  <c r="J58" i="68"/>
  <c r="J60" i="68"/>
  <c r="J62" i="68"/>
  <c r="J63" i="68"/>
  <c r="X64" i="68"/>
  <c r="Z64" i="68" s="1"/>
  <c r="V72" i="68"/>
  <c r="V76" i="69"/>
  <c r="V70" i="69"/>
  <c r="V66" i="69"/>
  <c r="V81" i="69"/>
  <c r="V69" i="69"/>
  <c r="V72" i="69"/>
  <c r="V68" i="69"/>
  <c r="V60" i="69"/>
  <c r="V48" i="69"/>
  <c r="V44" i="69"/>
  <c r="V36" i="69"/>
  <c r="T31" i="69"/>
  <c r="V24" i="69"/>
  <c r="V75" i="69"/>
  <c r="V71" i="69"/>
  <c r="V63" i="69"/>
  <c r="V55" i="69"/>
  <c r="V47" i="69"/>
  <c r="V43" i="69"/>
  <c r="V35" i="69"/>
  <c r="V23" i="69"/>
  <c r="V62" i="69"/>
  <c r="V54" i="69"/>
  <c r="V46" i="69"/>
  <c r="V42" i="69"/>
  <c r="V34" i="69"/>
  <c r="V22" i="69"/>
  <c r="V77" i="69"/>
  <c r="V65" i="69"/>
  <c r="V57" i="69"/>
  <c r="V53" i="69"/>
  <c r="V45" i="69"/>
  <c r="V41" i="69"/>
  <c r="V29" i="69"/>
  <c r="V21" i="69"/>
  <c r="V25" i="69"/>
  <c r="V38" i="69"/>
  <c r="Z45" i="69"/>
  <c r="V50" i="69"/>
  <c r="N56" i="69"/>
  <c r="V67" i="69"/>
  <c r="D74" i="69"/>
  <c r="L74" i="69" s="1"/>
  <c r="N74" i="69" s="1"/>
  <c r="P12" i="71"/>
  <c r="Z55" i="71"/>
  <c r="X58" i="71"/>
  <c r="Z58" i="71" s="1"/>
  <c r="J86" i="73"/>
  <c r="J82" i="73"/>
  <c r="J74" i="73"/>
  <c r="J70" i="73"/>
  <c r="J66" i="73"/>
  <c r="J60" i="73"/>
  <c r="J46" i="73"/>
  <c r="J42" i="73"/>
  <c r="J30" i="73"/>
  <c r="J24" i="73"/>
  <c r="J73" i="73"/>
  <c r="J69" i="73"/>
  <c r="J65" i="73"/>
  <c r="J57" i="73"/>
  <c r="J51" i="73"/>
  <c r="J41" i="73"/>
  <c r="J29" i="73"/>
  <c r="J17" i="73"/>
  <c r="J90" i="73"/>
  <c r="J84" i="73"/>
  <c r="J78" i="73"/>
  <c r="J62" i="73"/>
  <c r="J54" i="73"/>
  <c r="J48" i="73"/>
  <c r="J40" i="73"/>
  <c r="J34" i="73"/>
  <c r="J28" i="73"/>
  <c r="J81" i="73"/>
  <c r="J59" i="73"/>
  <c r="J45" i="73"/>
  <c r="J39" i="73"/>
  <c r="J27" i="73"/>
  <c r="J80" i="73"/>
  <c r="J76" i="73"/>
  <c r="J58" i="73"/>
  <c r="J52" i="73"/>
  <c r="J44" i="73"/>
  <c r="J36" i="73"/>
  <c r="J32" i="73"/>
  <c r="H21" i="73"/>
  <c r="J79" i="73"/>
  <c r="J75" i="73"/>
  <c r="J71" i="73"/>
  <c r="J67" i="73"/>
  <c r="J63" i="73"/>
  <c r="J55" i="73"/>
  <c r="J49" i="73"/>
  <c r="J43" i="73"/>
  <c r="J35" i="73"/>
  <c r="J31" i="73"/>
  <c r="J23" i="73"/>
  <c r="J19" i="73"/>
  <c r="J38" i="73"/>
  <c r="J77" i="73"/>
  <c r="J83" i="73"/>
  <c r="J61" i="73"/>
  <c r="J25" i="73"/>
  <c r="J53" i="73"/>
  <c r="J50" i="73"/>
  <c r="J72" i="73"/>
  <c r="J18" i="73"/>
  <c r="J68" i="73"/>
  <c r="J47" i="73"/>
  <c r="J26" i="73"/>
  <c r="J21" i="73"/>
  <c r="J56" i="73"/>
  <c r="L68" i="73"/>
  <c r="L26" i="74"/>
  <c r="N26" i="74" s="1"/>
  <c r="Z18" i="78"/>
  <c r="V73" i="67"/>
  <c r="V81" i="67"/>
  <c r="V23" i="68"/>
  <c r="V25" i="68"/>
  <c r="V29" i="68"/>
  <c r="V41" i="68"/>
  <c r="V53" i="68"/>
  <c r="L19" i="69"/>
  <c r="N19" i="69" s="1"/>
  <c r="X56" i="69"/>
  <c r="Z56" i="69" s="1"/>
  <c r="N60" i="71"/>
  <c r="L60" i="71"/>
  <c r="N68" i="73"/>
  <c r="J26" i="74"/>
  <c r="J37" i="69"/>
  <c r="J49" i="69"/>
  <c r="J61" i="69"/>
  <c r="J69" i="69"/>
  <c r="J76" i="69"/>
  <c r="J81" i="69"/>
  <c r="V68" i="71"/>
  <c r="V64" i="71"/>
  <c r="J18" i="71"/>
  <c r="V20" i="71"/>
  <c r="J22" i="71"/>
  <c r="V22" i="71"/>
  <c r="V26" i="71"/>
  <c r="J30" i="71"/>
  <c r="V38" i="71"/>
  <c r="J42" i="71"/>
  <c r="J46" i="71"/>
  <c r="V50" i="71"/>
  <c r="J54" i="71"/>
  <c r="V58" i="71"/>
  <c r="J60" i="71"/>
  <c r="V62" i="71"/>
  <c r="Z70" i="71"/>
  <c r="Z34" i="73"/>
  <c r="N51" i="73"/>
  <c r="N72" i="73"/>
  <c r="Z18" i="74"/>
  <c r="N50" i="74"/>
  <c r="N76" i="74"/>
  <c r="L80" i="74"/>
  <c r="N80" i="74" s="1"/>
  <c r="R80" i="78"/>
  <c r="R75" i="78"/>
  <c r="R71" i="78"/>
  <c r="R39" i="78"/>
  <c r="R31" i="78"/>
  <c r="R27" i="78"/>
  <c r="R70" i="78"/>
  <c r="R67" i="78"/>
  <c r="R50" i="78"/>
  <c r="R47" i="78"/>
  <c r="R38" i="78"/>
  <c r="R30" i="78"/>
  <c r="R26" i="78"/>
  <c r="R19" i="78"/>
  <c r="R73" i="78"/>
  <c r="R61" i="78"/>
  <c r="R57" i="78"/>
  <c r="R41" i="78"/>
  <c r="R37" i="78"/>
  <c r="R25" i="78"/>
  <c r="R14" i="78"/>
  <c r="R69" i="78"/>
  <c r="R64" i="78"/>
  <c r="R60" i="78"/>
  <c r="R56" i="78"/>
  <c r="R52" i="78"/>
  <c r="R49" i="78"/>
  <c r="R44" i="78"/>
  <c r="R36" i="78"/>
  <c r="R29" i="78"/>
  <c r="R24" i="78"/>
  <c r="X12" i="78"/>
  <c r="R85" i="78"/>
  <c r="R76" i="78"/>
  <c r="R62" i="78"/>
  <c r="R58" i="78"/>
  <c r="R42" i="78"/>
  <c r="R33" i="78"/>
  <c r="R21" i="78"/>
  <c r="R16" i="78"/>
  <c r="R78" i="78"/>
  <c r="R68" i="78"/>
  <c r="R65" i="78"/>
  <c r="R53" i="78"/>
  <c r="R48" i="78"/>
  <c r="R45" i="78"/>
  <c r="R32" i="78"/>
  <c r="R28" i="78"/>
  <c r="R20" i="78"/>
  <c r="R18" i="78"/>
  <c r="P16" i="78"/>
  <c r="R22" i="78"/>
  <c r="R54" i="78"/>
  <c r="R23" i="78"/>
  <c r="R59" i="78"/>
  <c r="R55" i="78"/>
  <c r="R51" i="78"/>
  <c r="R82" i="78"/>
  <c r="R63" i="78"/>
  <c r="R35" i="78"/>
  <c r="R66" i="78"/>
  <c r="R43" i="78"/>
  <c r="R40" i="78"/>
  <c r="V34" i="78"/>
  <c r="J26" i="69"/>
  <c r="J38" i="69"/>
  <c r="J50" i="69"/>
  <c r="J56" i="69"/>
  <c r="J64" i="69"/>
  <c r="J70" i="69"/>
  <c r="J74" i="69"/>
  <c r="H20" i="71"/>
  <c r="V27" i="71"/>
  <c r="J31" i="71"/>
  <c r="J35" i="71"/>
  <c r="V39" i="71"/>
  <c r="J43" i="71"/>
  <c r="V47" i="71"/>
  <c r="J49" i="71"/>
  <c r="V55" i="71"/>
  <c r="V59" i="71"/>
  <c r="J64" i="71"/>
  <c r="J65" i="71"/>
  <c r="J66" i="71"/>
  <c r="V70" i="71"/>
  <c r="V71" i="71"/>
  <c r="F21" i="72"/>
  <c r="F16" i="72"/>
  <c r="F23" i="72"/>
  <c r="V58" i="73"/>
  <c r="V50" i="73"/>
  <c r="V38" i="73"/>
  <c r="V26" i="73"/>
  <c r="V77" i="73"/>
  <c r="V61" i="73"/>
  <c r="V53" i="73"/>
  <c r="V49" i="73"/>
  <c r="V37" i="73"/>
  <c r="V33" i="73"/>
  <c r="V25" i="73"/>
  <c r="V86" i="73"/>
  <c r="V80" i="73"/>
  <c r="V76" i="73"/>
  <c r="V60" i="73"/>
  <c r="V52" i="73"/>
  <c r="V44" i="73"/>
  <c r="V36" i="73"/>
  <c r="V32" i="73"/>
  <c r="V24" i="73"/>
  <c r="V79" i="73"/>
  <c r="V75" i="73"/>
  <c r="V71" i="73"/>
  <c r="V67" i="73"/>
  <c r="V63" i="73"/>
  <c r="V55" i="73"/>
  <c r="V51" i="73"/>
  <c r="V43" i="73"/>
  <c r="V35" i="73"/>
  <c r="V31" i="73"/>
  <c r="V19" i="73"/>
  <c r="V90" i="73"/>
  <c r="V84" i="73"/>
  <c r="V72" i="73"/>
  <c r="V68" i="73"/>
  <c r="V64" i="73"/>
  <c r="V56" i="73"/>
  <c r="V48" i="73"/>
  <c r="V40" i="73"/>
  <c r="V28" i="73"/>
  <c r="V16" i="73"/>
  <c r="V83" i="73"/>
  <c r="V59" i="73"/>
  <c r="V47" i="73"/>
  <c r="V39" i="73"/>
  <c r="V27" i="73"/>
  <c r="V23" i="73"/>
  <c r="V29" i="73"/>
  <c r="V34" i="73"/>
  <c r="V41" i="73"/>
  <c r="X13" i="74"/>
  <c r="Z13" i="74" s="1"/>
  <c r="V18" i="74"/>
  <c r="Z37" i="74"/>
  <c r="F87" i="76"/>
  <c r="F84" i="76"/>
  <c r="F76" i="76"/>
  <c r="F68" i="76"/>
  <c r="F64" i="76"/>
  <c r="F52" i="76"/>
  <c r="F47" i="76"/>
  <c r="F40" i="76"/>
  <c r="F28" i="76"/>
  <c r="F95" i="76"/>
  <c r="F75" i="76"/>
  <c r="F71" i="76"/>
  <c r="F67" i="76"/>
  <c r="F63" i="76"/>
  <c r="F58" i="76"/>
  <c r="F55" i="76"/>
  <c r="F39" i="76"/>
  <c r="F35" i="76"/>
  <c r="F27" i="76"/>
  <c r="F18" i="76"/>
  <c r="F86" i="76"/>
  <c r="F81" i="76"/>
  <c r="F74" i="76"/>
  <c r="F66" i="76"/>
  <c r="F54" i="76"/>
  <c r="F49" i="76"/>
  <c r="F46" i="76"/>
  <c r="F38" i="76"/>
  <c r="F34" i="76"/>
  <c r="F90" i="76"/>
  <c r="F73" i="76"/>
  <c r="F60" i="76"/>
  <c r="F57" i="76"/>
  <c r="F45" i="76"/>
  <c r="F37" i="76"/>
  <c r="F33" i="76"/>
  <c r="D23" i="76"/>
  <c r="F23" i="76" s="1"/>
  <c r="F21" i="76"/>
  <c r="F91" i="76"/>
  <c r="F85" i="76"/>
  <c r="F82" i="76"/>
  <c r="F78" i="76"/>
  <c r="F65" i="76"/>
  <c r="F53" i="76"/>
  <c r="F50" i="76"/>
  <c r="F42" i="76"/>
  <c r="F30" i="76"/>
  <c r="F77" i="76"/>
  <c r="F72" i="76"/>
  <c r="F69" i="76"/>
  <c r="F61" i="76"/>
  <c r="F56" i="76"/>
  <c r="F41" i="76"/>
  <c r="F36" i="76"/>
  <c r="F29" i="76"/>
  <c r="F83" i="76"/>
  <c r="F79" i="76"/>
  <c r="F59" i="76"/>
  <c r="L12" i="76"/>
  <c r="F88" i="76"/>
  <c r="F80" i="76"/>
  <c r="F31" i="76"/>
  <c r="F19" i="76"/>
  <c r="F51" i="76"/>
  <c r="F26" i="76"/>
  <c r="F20" i="76"/>
  <c r="F62" i="76"/>
  <c r="F48" i="76"/>
  <c r="F44" i="76"/>
  <c r="F43" i="76"/>
  <c r="V85" i="78"/>
  <c r="V80" i="78"/>
  <c r="V78" i="78"/>
  <c r="V82" i="78"/>
  <c r="V76" i="78"/>
  <c r="V70" i="78"/>
  <c r="V50" i="78"/>
  <c r="V38" i="78"/>
  <c r="V30" i="78"/>
  <c r="V26" i="78"/>
  <c r="V14" i="78"/>
  <c r="V73" i="78"/>
  <c r="V69" i="78"/>
  <c r="V61" i="78"/>
  <c r="V57" i="78"/>
  <c r="V49" i="78"/>
  <c r="V41" i="78"/>
  <c r="V37" i="78"/>
  <c r="V29" i="78"/>
  <c r="V25" i="78"/>
  <c r="V72" i="78"/>
  <c r="V64" i="78"/>
  <c r="V60" i="78"/>
  <c r="V56" i="78"/>
  <c r="V52" i="78"/>
  <c r="V44" i="78"/>
  <c r="V40" i="78"/>
  <c r="V36" i="78"/>
  <c r="V24" i="78"/>
  <c r="Z12" i="78"/>
  <c r="V63" i="78"/>
  <c r="V59" i="78"/>
  <c r="V55" i="78"/>
  <c r="V51" i="78"/>
  <c r="V43" i="78"/>
  <c r="V35" i="78"/>
  <c r="V23" i="78"/>
  <c r="V75" i="78"/>
  <c r="V68" i="78"/>
  <c r="V48" i="78"/>
  <c r="V32" i="78"/>
  <c r="V28" i="78"/>
  <c r="V20" i="78"/>
  <c r="V71" i="78"/>
  <c r="V67" i="78"/>
  <c r="V47" i="78"/>
  <c r="V39" i="78"/>
  <c r="V31" i="78"/>
  <c r="V27" i="78"/>
  <c r="V19" i="78"/>
  <c r="V54" i="78"/>
  <c r="V16" i="78"/>
  <c r="V45" i="78"/>
  <c r="T16" i="78"/>
  <c r="V46" i="78"/>
  <c r="V42" i="78"/>
  <c r="V33" i="78"/>
  <c r="V18" i="78"/>
  <c r="V66" i="78"/>
  <c r="V58" i="78"/>
  <c r="V53" i="78"/>
  <c r="V62" i="78"/>
  <c r="V22" i="78"/>
  <c r="D78" i="78"/>
  <c r="N16" i="80"/>
  <c r="H28" i="80"/>
  <c r="H32" i="85"/>
  <c r="J27" i="69"/>
  <c r="J39" i="69"/>
  <c r="J45" i="69"/>
  <c r="J51" i="69"/>
  <c r="J59" i="69"/>
  <c r="J67" i="69"/>
  <c r="V16" i="71"/>
  <c r="J20" i="71"/>
  <c r="J24" i="71"/>
  <c r="V28" i="71"/>
  <c r="J32" i="71"/>
  <c r="J36" i="71"/>
  <c r="V40" i="71"/>
  <c r="J44" i="71"/>
  <c r="V48" i="71"/>
  <c r="J52" i="71"/>
  <c r="V56" i="71"/>
  <c r="J58" i="71"/>
  <c r="X63" i="71"/>
  <c r="Z63" i="71" s="1"/>
  <c r="J67" i="71"/>
  <c r="V77" i="71"/>
  <c r="D19" i="72"/>
  <c r="T21" i="73"/>
  <c r="V46" i="73"/>
  <c r="Z26" i="74"/>
  <c r="V29" i="74"/>
  <c r="Z50" i="74"/>
  <c r="X67" i="74"/>
  <c r="Z67" i="74" s="1"/>
  <c r="L73" i="74"/>
  <c r="J80" i="74"/>
  <c r="V81" i="74"/>
  <c r="Z82" i="74"/>
  <c r="L13" i="76"/>
  <c r="N13" i="76" s="1"/>
  <c r="F70" i="76"/>
  <c r="D30" i="79"/>
  <c r="J20" i="69"/>
  <c r="J28" i="69"/>
  <c r="J34" i="69"/>
  <c r="J40" i="69"/>
  <c r="J52" i="69"/>
  <c r="J62" i="69"/>
  <c r="J77" i="69"/>
  <c r="D12" i="71"/>
  <c r="V17" i="71"/>
  <c r="J25" i="71"/>
  <c r="V29" i="71"/>
  <c r="J33" i="71"/>
  <c r="J37" i="71"/>
  <c r="V41" i="71"/>
  <c r="V45" i="71"/>
  <c r="J47" i="71"/>
  <c r="V53" i="71"/>
  <c r="J55" i="71"/>
  <c r="V57" i="71"/>
  <c r="N68" i="71"/>
  <c r="Z73" i="71"/>
  <c r="X73" i="71"/>
  <c r="V75" i="71"/>
  <c r="X14" i="72"/>
  <c r="P12" i="72"/>
  <c r="Z16" i="72"/>
  <c r="H25" i="72"/>
  <c r="J23" i="72"/>
  <c r="Z51" i="73"/>
  <c r="Z54" i="73"/>
  <c r="Z62" i="73"/>
  <c r="X78" i="73"/>
  <c r="V26" i="74"/>
  <c r="V50" i="74"/>
  <c r="L52" i="74"/>
  <c r="N52" i="74" s="1"/>
  <c r="X70" i="74"/>
  <c r="L17" i="75"/>
  <c r="N17" i="75" s="1"/>
  <c r="V83" i="76"/>
  <c r="R46" i="78"/>
  <c r="J73" i="71"/>
  <c r="J69" i="71"/>
  <c r="J70" i="71"/>
  <c r="J16" i="71"/>
  <c r="J26" i="71"/>
  <c r="V30" i="71"/>
  <c r="V34" i="71"/>
  <c r="J38" i="71"/>
  <c r="V42" i="71"/>
  <c r="V46" i="71"/>
  <c r="J50" i="71"/>
  <c r="V54" i="71"/>
  <c r="J62" i="71"/>
  <c r="V65" i="71"/>
  <c r="J68" i="71"/>
  <c r="V73" i="71"/>
  <c r="L12" i="72"/>
  <c r="N12" i="72" s="1"/>
  <c r="L23" i="73"/>
  <c r="V45" i="73"/>
  <c r="V54" i="73"/>
  <c r="V62" i="73"/>
  <c r="V66" i="73"/>
  <c r="Z78" i="73"/>
  <c r="N81" i="73"/>
  <c r="L81" i="73"/>
  <c r="T24" i="74"/>
  <c r="V24" i="74" s="1"/>
  <c r="X59" i="74"/>
  <c r="Z59" i="74" s="1"/>
  <c r="L61" i="74"/>
  <c r="N61" i="74" s="1"/>
  <c r="Z70" i="74"/>
  <c r="N73" i="74"/>
  <c r="F34" i="75"/>
  <c r="F28" i="75"/>
  <c r="D22" i="75"/>
  <c r="F20" i="75"/>
  <c r="F19" i="75"/>
  <c r="F25" i="75"/>
  <c r="F24" i="75"/>
  <c r="F18" i="75"/>
  <c r="L12" i="75"/>
  <c r="F39" i="75"/>
  <c r="F32" i="75"/>
  <c r="F26" i="75"/>
  <c r="F36" i="75"/>
  <c r="F30" i="75"/>
  <c r="F22" i="75"/>
  <c r="F27" i="75"/>
  <c r="F17" i="75"/>
  <c r="L62" i="76"/>
  <c r="N62" i="76" s="1"/>
  <c r="P26" i="77"/>
  <c r="X16" i="77"/>
  <c r="V21" i="78"/>
  <c r="V23" i="71"/>
  <c r="J27" i="71"/>
  <c r="V31" i="71"/>
  <c r="V35" i="71"/>
  <c r="J39" i="71"/>
  <c r="V43" i="71"/>
  <c r="J45" i="71"/>
  <c r="V51" i="71"/>
  <c r="J53" i="71"/>
  <c r="J59" i="71"/>
  <c r="V63" i="71"/>
  <c r="V66" i="71"/>
  <c r="J71" i="71"/>
  <c r="F17" i="72"/>
  <c r="L16" i="73"/>
  <c r="N16" i="73" s="1"/>
  <c r="V18" i="73"/>
  <c r="N56" i="73"/>
  <c r="V57" i="73"/>
  <c r="Z58" i="73"/>
  <c r="N64" i="73"/>
  <c r="V70" i="73"/>
  <c r="V74" i="73"/>
  <c r="V78" i="73"/>
  <c r="V82" i="73"/>
  <c r="V92" i="74"/>
  <c r="V86" i="74"/>
  <c r="V82" i="74"/>
  <c r="V66" i="74"/>
  <c r="V58" i="74"/>
  <c r="V54" i="74"/>
  <c r="V46" i="74"/>
  <c r="V38" i="74"/>
  <c r="V34" i="74"/>
  <c r="V22" i="74"/>
  <c r="V88" i="74"/>
  <c r="V85" i="74"/>
  <c r="V69" i="74"/>
  <c r="V65" i="74"/>
  <c r="V57" i="74"/>
  <c r="V49" i="74"/>
  <c r="V45" i="74"/>
  <c r="V37" i="74"/>
  <c r="V33" i="74"/>
  <c r="V21" i="74"/>
  <c r="V72" i="74"/>
  <c r="V68" i="74"/>
  <c r="V60" i="74"/>
  <c r="V56" i="74"/>
  <c r="V48" i="74"/>
  <c r="V44" i="74"/>
  <c r="V32" i="74"/>
  <c r="V20" i="74"/>
  <c r="Z12" i="74"/>
  <c r="V79" i="74"/>
  <c r="V75" i="74"/>
  <c r="V71" i="74"/>
  <c r="V67" i="74"/>
  <c r="V59" i="74"/>
  <c r="V51" i="74"/>
  <c r="V43" i="74"/>
  <c r="V31" i="74"/>
  <c r="V19" i="74"/>
  <c r="V84" i="74"/>
  <c r="V80" i="74"/>
  <c r="V76" i="74"/>
  <c r="V64" i="74"/>
  <c r="V52" i="74"/>
  <c r="V40" i="74"/>
  <c r="V36" i="74"/>
  <c r="V28" i="74"/>
  <c r="V83" i="74"/>
  <c r="V63" i="74"/>
  <c r="V55" i="74"/>
  <c r="V47" i="74"/>
  <c r="V39" i="74"/>
  <c r="V35" i="74"/>
  <c r="V27" i="74"/>
  <c r="J52" i="74"/>
  <c r="V53" i="74"/>
  <c r="Z54" i="74"/>
  <c r="V70" i="74"/>
  <c r="V74" i="74"/>
  <c r="T32" i="75"/>
  <c r="L15" i="75"/>
  <c r="F25" i="76"/>
  <c r="R72" i="78"/>
  <c r="X12" i="73"/>
  <c r="Z12" i="73" s="1"/>
  <c r="R28" i="73"/>
  <c r="R40" i="73"/>
  <c r="R45" i="73"/>
  <c r="R48" i="73"/>
  <c r="R81" i="73"/>
  <c r="R84" i="73"/>
  <c r="L86" i="73"/>
  <c r="R90" i="73"/>
  <c r="L13" i="74"/>
  <c r="N13" i="74" s="1"/>
  <c r="J19" i="74"/>
  <c r="J31" i="74"/>
  <c r="J37" i="74"/>
  <c r="J43" i="74"/>
  <c r="L48" i="74"/>
  <c r="N48" i="74" s="1"/>
  <c r="J51" i="74"/>
  <c r="X54" i="74"/>
  <c r="L56" i="74"/>
  <c r="J65" i="74"/>
  <c r="J71" i="74"/>
  <c r="J75" i="74"/>
  <c r="J79" i="74"/>
  <c r="X82" i="74"/>
  <c r="J85" i="74"/>
  <c r="L88" i="74"/>
  <c r="L24" i="75"/>
  <c r="N24" i="75" s="1"/>
  <c r="Z25" i="76"/>
  <c r="Z51" i="76"/>
  <c r="J59" i="76"/>
  <c r="X60" i="76"/>
  <c r="Z60" i="76" s="1"/>
  <c r="J79" i="76"/>
  <c r="Z81" i="76"/>
  <c r="N18" i="78"/>
  <c r="Z29" i="78"/>
  <c r="L45" i="78"/>
  <c r="X58" i="78"/>
  <c r="Z58" i="78" s="1"/>
  <c r="N72" i="78"/>
  <c r="L75" i="78"/>
  <c r="J17" i="72"/>
  <c r="J27" i="72"/>
  <c r="R17" i="73"/>
  <c r="R29" i="73"/>
  <c r="R34" i="73"/>
  <c r="R41" i="73"/>
  <c r="R54" i="73"/>
  <c r="R57" i="73"/>
  <c r="R62" i="73"/>
  <c r="R65" i="73"/>
  <c r="R69" i="73"/>
  <c r="R73" i="73"/>
  <c r="R78" i="73"/>
  <c r="N12" i="74"/>
  <c r="J20" i="74"/>
  <c r="J32" i="74"/>
  <c r="J44" i="74"/>
  <c r="J54" i="74"/>
  <c r="J60" i="74"/>
  <c r="J68" i="74"/>
  <c r="J72" i="74"/>
  <c r="J82" i="74"/>
  <c r="J25" i="75"/>
  <c r="J19" i="75"/>
  <c r="J18" i="75"/>
  <c r="N12" i="75"/>
  <c r="J27" i="75"/>
  <c r="H22" i="75"/>
  <c r="J34" i="75"/>
  <c r="J28" i="75"/>
  <c r="J24" i="75"/>
  <c r="J20" i="75"/>
  <c r="J30" i="75"/>
  <c r="J30" i="76"/>
  <c r="V51" i="76"/>
  <c r="N53" i="76"/>
  <c r="X83" i="76"/>
  <c r="Z83" i="76" s="1"/>
  <c r="J91" i="76"/>
  <c r="T93" i="76"/>
  <c r="N14" i="77"/>
  <c r="L14" i="77"/>
  <c r="D26" i="77"/>
  <c r="V50" i="84"/>
  <c r="V44" i="84"/>
  <c r="V32" i="84"/>
  <c r="V20" i="84"/>
  <c r="V46" i="84"/>
  <c r="V38" i="84"/>
  <c r="V30" i="84"/>
  <c r="V26" i="84"/>
  <c r="V14" i="84"/>
  <c r="V49" i="84"/>
  <c r="V45" i="84"/>
  <c r="V37" i="84"/>
  <c r="V29" i="84"/>
  <c r="V25" i="84"/>
  <c r="V31" i="84"/>
  <c r="V27" i="84"/>
  <c r="V39" i="84"/>
  <c r="V33" i="84"/>
  <c r="V51" i="84"/>
  <c r="V40" i="84"/>
  <c r="V36" i="84"/>
  <c r="V35" i="84"/>
  <c r="V34" i="84"/>
  <c r="V53" i="84"/>
  <c r="V48" i="84"/>
  <c r="V43" i="84"/>
  <c r="V19" i="84"/>
  <c r="V16" i="84"/>
  <c r="Z12" i="84"/>
  <c r="V57" i="84"/>
  <c r="V28" i="84"/>
  <c r="T16" i="84"/>
  <c r="X12" i="84"/>
  <c r="V41" i="84"/>
  <c r="V24" i="84"/>
  <c r="V23" i="84"/>
  <c r="V22" i="84"/>
  <c r="V55" i="84"/>
  <c r="V60" i="84"/>
  <c r="V42" i="84"/>
  <c r="V21" i="84"/>
  <c r="V18" i="84"/>
  <c r="R32" i="73"/>
  <c r="R36" i="73"/>
  <c r="R44" i="73"/>
  <c r="R49" i="73"/>
  <c r="R52" i="73"/>
  <c r="R76" i="73"/>
  <c r="R80" i="73"/>
  <c r="H24" i="74"/>
  <c r="J24" i="74" s="1"/>
  <c r="J35" i="74"/>
  <c r="J39" i="74"/>
  <c r="J47" i="74"/>
  <c r="J55" i="74"/>
  <c r="J61" i="74"/>
  <c r="J73" i="74"/>
  <c r="J83" i="74"/>
  <c r="X24" i="75"/>
  <c r="Z24" i="75" s="1"/>
  <c r="Z18" i="76"/>
  <c r="N25" i="76"/>
  <c r="J42" i="76"/>
  <c r="Z62" i="76"/>
  <c r="N70" i="76"/>
  <c r="N85" i="76"/>
  <c r="Z87" i="76"/>
  <c r="X90" i="76"/>
  <c r="Z30" i="77"/>
  <c r="T33" i="77"/>
  <c r="Z33" i="77" s="1"/>
  <c r="X51" i="78"/>
  <c r="Z51" i="78" s="1"/>
  <c r="L53" i="78"/>
  <c r="P28" i="80"/>
  <c r="X16" i="80"/>
  <c r="P32" i="81"/>
  <c r="X28" i="81"/>
  <c r="X16" i="81"/>
  <c r="P21" i="73"/>
  <c r="R23" i="73"/>
  <c r="R25" i="73"/>
  <c r="R33" i="73"/>
  <c r="R37" i="73"/>
  <c r="R53" i="73"/>
  <c r="R58" i="73"/>
  <c r="R61" i="73"/>
  <c r="R77" i="73"/>
  <c r="J18" i="74"/>
  <c r="J28" i="74"/>
  <c r="J36" i="74"/>
  <c r="J40" i="74"/>
  <c r="J50" i="74"/>
  <c r="J64" i="74"/>
  <c r="J70" i="74"/>
  <c r="J84" i="74"/>
  <c r="J22" i="75"/>
  <c r="N26" i="76"/>
  <c r="J56" i="76"/>
  <c r="L65" i="76"/>
  <c r="L65" i="78"/>
  <c r="Z26" i="80"/>
  <c r="X26" i="80"/>
  <c r="N66" i="83"/>
  <c r="L66" i="83"/>
  <c r="D48" i="84"/>
  <c r="L48" i="84" s="1"/>
  <c r="N48" i="84" s="1"/>
  <c r="L50" i="84"/>
  <c r="N50" i="84" s="1"/>
  <c r="R26" i="73"/>
  <c r="R38" i="73"/>
  <c r="R47" i="73"/>
  <c r="R50" i="73"/>
  <c r="R83" i="73"/>
  <c r="J29" i="74"/>
  <c r="J41" i="74"/>
  <c r="J53" i="74"/>
  <c r="J59" i="74"/>
  <c r="J67" i="74"/>
  <c r="J77" i="74"/>
  <c r="J81" i="74"/>
  <c r="J95" i="76"/>
  <c r="J81" i="76"/>
  <c r="J75" i="76"/>
  <c r="J71" i="76"/>
  <c r="J67" i="76"/>
  <c r="J63" i="76"/>
  <c r="J55" i="76"/>
  <c r="J49" i="76"/>
  <c r="J39" i="76"/>
  <c r="J35" i="76"/>
  <c r="J27" i="76"/>
  <c r="J90" i="76"/>
  <c r="J86" i="76"/>
  <c r="J74" i="76"/>
  <c r="J66" i="76"/>
  <c r="J60" i="76"/>
  <c r="J54" i="76"/>
  <c r="J46" i="76"/>
  <c r="J38" i="76"/>
  <c r="J34" i="76"/>
  <c r="H23" i="76"/>
  <c r="J23" i="76" s="1"/>
  <c r="J83" i="76"/>
  <c r="J73" i="76"/>
  <c r="J57" i="76"/>
  <c r="J51" i="76"/>
  <c r="J45" i="76"/>
  <c r="J37" i="76"/>
  <c r="J33" i="76"/>
  <c r="J25" i="76"/>
  <c r="J21" i="76"/>
  <c r="J88" i="76"/>
  <c r="J80" i="76"/>
  <c r="J70" i="76"/>
  <c r="J62" i="76"/>
  <c r="J48" i="76"/>
  <c r="J44" i="76"/>
  <c r="J32" i="76"/>
  <c r="J26" i="76"/>
  <c r="J20" i="76"/>
  <c r="N12" i="76"/>
  <c r="J87" i="76"/>
  <c r="J77" i="76"/>
  <c r="J69" i="76"/>
  <c r="J61" i="76"/>
  <c r="J47" i="76"/>
  <c r="J41" i="76"/>
  <c r="J29" i="76"/>
  <c r="J84" i="76"/>
  <c r="J76" i="76"/>
  <c r="J68" i="76"/>
  <c r="J64" i="76"/>
  <c r="J58" i="76"/>
  <c r="J52" i="76"/>
  <c r="J40" i="76"/>
  <c r="J28" i="76"/>
  <c r="J18" i="76"/>
  <c r="J50" i="76"/>
  <c r="N65" i="76"/>
  <c r="R56" i="73"/>
  <c r="R59" i="73"/>
  <c r="R64" i="73"/>
  <c r="R68" i="73"/>
  <c r="R72" i="73"/>
  <c r="J30" i="74"/>
  <c r="J42" i="74"/>
  <c r="J48" i="74"/>
  <c r="J56" i="74"/>
  <c r="J62" i="74"/>
  <c r="J74" i="74"/>
  <c r="J78" i="74"/>
  <c r="J26" i="75"/>
  <c r="Z27" i="75"/>
  <c r="X27" i="75"/>
  <c r="J19" i="76"/>
  <c r="J31" i="76"/>
  <c r="N60" i="76"/>
  <c r="J65" i="76"/>
  <c r="Z62" i="78"/>
  <c r="X62" i="78"/>
  <c r="T32" i="80"/>
  <c r="T28" i="81"/>
  <c r="V22" i="75"/>
  <c r="V24" i="75"/>
  <c r="V30" i="75"/>
  <c r="V20" i="76"/>
  <c r="V32" i="76"/>
  <c r="V36" i="76"/>
  <c r="V44" i="76"/>
  <c r="V48" i="76"/>
  <c r="V56" i="76"/>
  <c r="V72" i="76"/>
  <c r="V80" i="76"/>
  <c r="V88" i="76"/>
  <c r="R19" i="77"/>
  <c r="F21" i="77"/>
  <c r="V21" i="77"/>
  <c r="R22" i="77"/>
  <c r="R28" i="77"/>
  <c r="L12" i="78"/>
  <c r="F18" i="78"/>
  <c r="F19" i="78"/>
  <c r="J23" i="78"/>
  <c r="F24" i="78"/>
  <c r="J29" i="78"/>
  <c r="J35" i="78"/>
  <c r="F36" i="78"/>
  <c r="J43" i="78"/>
  <c r="F44" i="78"/>
  <c r="F47" i="78"/>
  <c r="J49" i="78"/>
  <c r="F52" i="78"/>
  <c r="J55" i="78"/>
  <c r="F56" i="78"/>
  <c r="J59" i="78"/>
  <c r="F60" i="78"/>
  <c r="J63" i="78"/>
  <c r="F64" i="78"/>
  <c r="F67" i="78"/>
  <c r="J69" i="78"/>
  <c r="R37" i="79"/>
  <c r="R30" i="79"/>
  <c r="R16" i="79"/>
  <c r="R25" i="79"/>
  <c r="R20" i="79"/>
  <c r="R18" i="79"/>
  <c r="P16" i="79"/>
  <c r="R34" i="79"/>
  <c r="R28" i="79"/>
  <c r="R14" i="79"/>
  <c r="R24" i="79"/>
  <c r="R21" i="79"/>
  <c r="X12" i="79"/>
  <c r="L18" i="79"/>
  <c r="N18" i="79" s="1"/>
  <c r="F21" i="79"/>
  <c r="F22" i="79"/>
  <c r="F25" i="79"/>
  <c r="J32" i="79"/>
  <c r="F34" i="79"/>
  <c r="N26" i="81"/>
  <c r="J18" i="82"/>
  <c r="J30" i="82"/>
  <c r="J31" i="82"/>
  <c r="J36" i="82"/>
  <c r="J53" i="82"/>
  <c r="J84" i="82"/>
  <c r="R95" i="83"/>
  <c r="R88" i="83"/>
  <c r="R81" i="83"/>
  <c r="R70" i="83"/>
  <c r="R62" i="83"/>
  <c r="R55" i="83"/>
  <c r="R50" i="83"/>
  <c r="R38" i="83"/>
  <c r="R80" i="83"/>
  <c r="R69" i="83"/>
  <c r="R66" i="83"/>
  <c r="R58" i="83"/>
  <c r="R49" i="83"/>
  <c r="R46" i="83"/>
  <c r="R37" i="83"/>
  <c r="R25" i="83"/>
  <c r="R20" i="83"/>
  <c r="R76" i="83"/>
  <c r="R61" i="83"/>
  <c r="R52" i="83"/>
  <c r="R36" i="83"/>
  <c r="R32" i="83"/>
  <c r="R24" i="83"/>
  <c r="R22" i="83"/>
  <c r="P20" i="83"/>
  <c r="R86" i="83"/>
  <c r="R75" i="83"/>
  <c r="R68" i="83"/>
  <c r="R48" i="83"/>
  <c r="R43" i="83"/>
  <c r="R35" i="83"/>
  <c r="R31" i="83"/>
  <c r="R92" i="83"/>
  <c r="R85" i="83"/>
  <c r="R83" i="83"/>
  <c r="R82" i="83"/>
  <c r="R73" i="83"/>
  <c r="R65" i="83"/>
  <c r="R57" i="83"/>
  <c r="R45" i="83"/>
  <c r="R41" i="83"/>
  <c r="R29" i="83"/>
  <c r="R17" i="83"/>
  <c r="R79" i="83"/>
  <c r="R71" i="83"/>
  <c r="R26" i="83"/>
  <c r="R60" i="83"/>
  <c r="R33" i="83"/>
  <c r="R28" i="83"/>
  <c r="R23" i="83"/>
  <c r="R77" i="83"/>
  <c r="R67" i="83"/>
  <c r="R53" i="83"/>
  <c r="R44" i="83"/>
  <c r="R34" i="83"/>
  <c r="X12" i="83"/>
  <c r="Z12" i="83" s="1"/>
  <c r="R90" i="83"/>
  <c r="R74" i="83"/>
  <c r="R63" i="83"/>
  <c r="R56" i="83"/>
  <c r="R47" i="83"/>
  <c r="R30" i="83"/>
  <c r="R64" i="83"/>
  <c r="R40" i="83"/>
  <c r="X13" i="86"/>
  <c r="P12" i="86"/>
  <c r="R27" i="75"/>
  <c r="V33" i="76"/>
  <c r="V37" i="76"/>
  <c r="V45" i="76"/>
  <c r="V53" i="76"/>
  <c r="V57" i="76"/>
  <c r="V65" i="76"/>
  <c r="V73" i="76"/>
  <c r="V85" i="76"/>
  <c r="V22" i="77"/>
  <c r="F26" i="77"/>
  <c r="V26" i="77"/>
  <c r="V28" i="77"/>
  <c r="F33" i="77"/>
  <c r="V33" i="77"/>
  <c r="N12" i="78"/>
  <c r="J14" i="78"/>
  <c r="J24" i="78"/>
  <c r="F25" i="78"/>
  <c r="J36" i="78"/>
  <c r="F37" i="78"/>
  <c r="F41" i="78"/>
  <c r="J44" i="78"/>
  <c r="J52" i="78"/>
  <c r="J56" i="78"/>
  <c r="F57" i="78"/>
  <c r="J60" i="78"/>
  <c r="F61" i="78"/>
  <c r="J64" i="78"/>
  <c r="F73" i="78"/>
  <c r="J82" i="78"/>
  <c r="V20" i="79"/>
  <c r="V19" i="79"/>
  <c r="V24" i="79"/>
  <c r="Z12" i="79"/>
  <c r="V23" i="79"/>
  <c r="V14" i="79"/>
  <c r="X21" i="80"/>
  <c r="L18" i="81"/>
  <c r="L19" i="81"/>
  <c r="V90" i="83"/>
  <c r="V83" i="83"/>
  <c r="V81" i="83"/>
  <c r="V80" i="83"/>
  <c r="V69" i="83"/>
  <c r="V61" i="83"/>
  <c r="V49" i="83"/>
  <c r="V37" i="83"/>
  <c r="V76" i="83"/>
  <c r="V68" i="83"/>
  <c r="V52" i="83"/>
  <c r="V48" i="83"/>
  <c r="V36" i="83"/>
  <c r="V32" i="83"/>
  <c r="V24" i="83"/>
  <c r="V86" i="83"/>
  <c r="V75" i="83"/>
  <c r="V51" i="83"/>
  <c r="V43" i="83"/>
  <c r="V35" i="83"/>
  <c r="V31" i="83"/>
  <c r="V23" i="83"/>
  <c r="V85" i="83"/>
  <c r="V82" i="83"/>
  <c r="V79" i="83"/>
  <c r="V78" i="83"/>
  <c r="V74" i="83"/>
  <c r="V54" i="83"/>
  <c r="V42" i="83"/>
  <c r="V34" i="83"/>
  <c r="V30" i="83"/>
  <c r="V18" i="83"/>
  <c r="V72" i="83"/>
  <c r="V64" i="83"/>
  <c r="V60" i="83"/>
  <c r="V56" i="83"/>
  <c r="V44" i="83"/>
  <c r="V40" i="83"/>
  <c r="V28" i="83"/>
  <c r="V16" i="83"/>
  <c r="V66" i="83"/>
  <c r="V59" i="83"/>
  <c r="V41" i="83"/>
  <c r="V33" i="83"/>
  <c r="V27" i="83"/>
  <c r="V67" i="83"/>
  <c r="V65" i="83"/>
  <c r="V38" i="83"/>
  <c r="V55" i="83"/>
  <c r="V46" i="83"/>
  <c r="V39" i="83"/>
  <c r="V22" i="83"/>
  <c r="V70" i="83"/>
  <c r="V25" i="83"/>
  <c r="T20" i="83"/>
  <c r="V71" i="83"/>
  <c r="V58" i="83"/>
  <c r="V26" i="83"/>
  <c r="R27" i="83"/>
  <c r="V77" i="83"/>
  <c r="J25" i="86"/>
  <c r="J27" i="86"/>
  <c r="J43" i="86"/>
  <c r="J36" i="86"/>
  <c r="J38" i="86"/>
  <c r="J26" i="86"/>
  <c r="H18" i="86"/>
  <c r="J24" i="86"/>
  <c r="J20" i="86"/>
  <c r="J16" i="86"/>
  <c r="J29" i="86"/>
  <c r="J31" i="86"/>
  <c r="J15" i="86"/>
  <c r="J40" i="86"/>
  <c r="J34" i="86"/>
  <c r="J32" i="86"/>
  <c r="J30" i="86"/>
  <c r="J28" i="86"/>
  <c r="J18" i="86"/>
  <c r="J21" i="86"/>
  <c r="J22" i="86"/>
  <c r="N12" i="86"/>
  <c r="V28" i="75"/>
  <c r="V32" i="75"/>
  <c r="V34" i="75"/>
  <c r="V28" i="76"/>
  <c r="V40" i="76"/>
  <c r="V52" i="76"/>
  <c r="V60" i="76"/>
  <c r="V64" i="76"/>
  <c r="V68" i="76"/>
  <c r="V76" i="76"/>
  <c r="V84" i="76"/>
  <c r="V90" i="76"/>
  <c r="J19" i="77"/>
  <c r="F22" i="77"/>
  <c r="F28" i="77"/>
  <c r="H16" i="78"/>
  <c r="L16" i="78" s="1"/>
  <c r="F20" i="78"/>
  <c r="J27" i="78"/>
  <c r="F28" i="78"/>
  <c r="J31" i="78"/>
  <c r="F32" i="78"/>
  <c r="J39" i="78"/>
  <c r="J45" i="78"/>
  <c r="F48" i="78"/>
  <c r="F51" i="78"/>
  <c r="J53" i="78"/>
  <c r="J65" i="78"/>
  <c r="F68" i="78"/>
  <c r="J71" i="78"/>
  <c r="J75" i="78"/>
  <c r="D28" i="80"/>
  <c r="Z23" i="81"/>
  <c r="X23" i="81"/>
  <c r="J87" i="82"/>
  <c r="J77" i="82"/>
  <c r="J61" i="82"/>
  <c r="J47" i="82"/>
  <c r="J41" i="82"/>
  <c r="J29" i="82"/>
  <c r="J93" i="82"/>
  <c r="J74" i="82"/>
  <c r="J89" i="82"/>
  <c r="J83" i="82"/>
  <c r="J69" i="82"/>
  <c r="J63" i="82"/>
  <c r="J55" i="82"/>
  <c r="J49" i="82"/>
  <c r="J39" i="82"/>
  <c r="J35" i="82"/>
  <c r="J27" i="82"/>
  <c r="J97" i="82"/>
  <c r="J85" i="82"/>
  <c r="J81" i="82"/>
  <c r="J73" i="82"/>
  <c r="J65" i="82"/>
  <c r="J57" i="82"/>
  <c r="J51" i="82"/>
  <c r="J45" i="82"/>
  <c r="J37" i="82"/>
  <c r="J33" i="82"/>
  <c r="J25" i="82"/>
  <c r="J21" i="82"/>
  <c r="J86" i="82"/>
  <c r="J72" i="82"/>
  <c r="J60" i="82"/>
  <c r="J59" i="82"/>
  <c r="J40" i="82"/>
  <c r="J28" i="82"/>
  <c r="J76" i="82"/>
  <c r="J75" i="82"/>
  <c r="J58" i="82"/>
  <c r="J43" i="82"/>
  <c r="J42" i="82"/>
  <c r="J19" i="82"/>
  <c r="J79" i="82"/>
  <c r="J78" i="82"/>
  <c r="J71" i="82"/>
  <c r="J70" i="82"/>
  <c r="J56" i="82"/>
  <c r="J54" i="82"/>
  <c r="J48" i="82"/>
  <c r="J46" i="82"/>
  <c r="J32" i="82"/>
  <c r="J80" i="82"/>
  <c r="J64" i="82"/>
  <c r="J52" i="82"/>
  <c r="J50" i="82"/>
  <c r="H23" i="82"/>
  <c r="N25" i="82"/>
  <c r="J38" i="82"/>
  <c r="J82" i="82"/>
  <c r="Z87" i="82"/>
  <c r="N22" i="83"/>
  <c r="J22" i="83"/>
  <c r="L22" i="83"/>
  <c r="V63" i="83"/>
  <c r="P22" i="75"/>
  <c r="R24" i="75"/>
  <c r="V25" i="75"/>
  <c r="R26" i="75"/>
  <c r="P12" i="76"/>
  <c r="V23" i="76"/>
  <c r="V25" i="76"/>
  <c r="V29" i="76"/>
  <c r="V41" i="76"/>
  <c r="V49" i="76"/>
  <c r="V61" i="76"/>
  <c r="V69" i="76"/>
  <c r="V77" i="76"/>
  <c r="V81" i="76"/>
  <c r="F16" i="77"/>
  <c r="V16" i="77"/>
  <c r="J18" i="77"/>
  <c r="V18" i="77"/>
  <c r="J22" i="77"/>
  <c r="F24" i="77"/>
  <c r="V24" i="77"/>
  <c r="J28" i="77"/>
  <c r="F30" i="77"/>
  <c r="J16" i="78"/>
  <c r="J20" i="78"/>
  <c r="F21" i="78"/>
  <c r="J28" i="78"/>
  <c r="J32" i="78"/>
  <c r="F33" i="78"/>
  <c r="F40" i="78"/>
  <c r="J42" i="78"/>
  <c r="J48" i="78"/>
  <c r="J58" i="78"/>
  <c r="J62" i="78"/>
  <c r="J68" i="78"/>
  <c r="J78" i="78"/>
  <c r="X19" i="79"/>
  <c r="Z19" i="79" s="1"/>
  <c r="V21" i="79"/>
  <c r="V22" i="79"/>
  <c r="X23" i="79"/>
  <c r="V25" i="79"/>
  <c r="R26" i="79"/>
  <c r="T30" i="79"/>
  <c r="J34" i="82"/>
  <c r="J44" i="82"/>
  <c r="J68" i="82"/>
  <c r="L69" i="82"/>
  <c r="N69" i="82" s="1"/>
  <c r="L93" i="82"/>
  <c r="D92" i="82"/>
  <c r="L92" i="82" s="1"/>
  <c r="V50" i="83"/>
  <c r="R51" i="83"/>
  <c r="R59" i="83"/>
  <c r="R72" i="83"/>
  <c r="R78" i="83"/>
  <c r="P85" i="83"/>
  <c r="X85" i="83" s="1"/>
  <c r="X86" i="83"/>
  <c r="R22" i="75"/>
  <c r="V26" i="75"/>
  <c r="R30" i="75"/>
  <c r="V18" i="76"/>
  <c r="V30" i="76"/>
  <c r="V42" i="76"/>
  <c r="V50" i="76"/>
  <c r="V58" i="76"/>
  <c r="V78" i="76"/>
  <c r="V82" i="76"/>
  <c r="X12" i="77"/>
  <c r="H16" i="77"/>
  <c r="L16" i="77" s="1"/>
  <c r="R21" i="77"/>
  <c r="F85" i="78"/>
  <c r="F78" i="78"/>
  <c r="F82" i="78"/>
  <c r="J21" i="78"/>
  <c r="F22" i="78"/>
  <c r="F29" i="78"/>
  <c r="J33" i="78"/>
  <c r="F34" i="78"/>
  <c r="F46" i="78"/>
  <c r="F49" i="78"/>
  <c r="F54" i="78"/>
  <c r="F66" i="78"/>
  <c r="F69" i="78"/>
  <c r="F76" i="78"/>
  <c r="F24" i="79"/>
  <c r="F19" i="79"/>
  <c r="F18" i="79"/>
  <c r="L12" i="79"/>
  <c r="F23" i="79"/>
  <c r="F20" i="79"/>
  <c r="Z18" i="79"/>
  <c r="F37" i="79"/>
  <c r="J20" i="82"/>
  <c r="J26" i="82"/>
  <c r="J62" i="82"/>
  <c r="J88" i="82"/>
  <c r="R54" i="83"/>
  <c r="V19" i="76"/>
  <c r="V31" i="76"/>
  <c r="V43" i="76"/>
  <c r="V47" i="76"/>
  <c r="V59" i="76"/>
  <c r="V79" i="76"/>
  <c r="V87" i="76"/>
  <c r="V91" i="76"/>
  <c r="J16" i="77"/>
  <c r="J20" i="77"/>
  <c r="J24" i="77"/>
  <c r="R26" i="77"/>
  <c r="J76" i="78"/>
  <c r="J80" i="78"/>
  <c r="J22" i="78"/>
  <c r="F23" i="78"/>
  <c r="J34" i="78"/>
  <c r="F35" i="78"/>
  <c r="J40" i="78"/>
  <c r="F43" i="78"/>
  <c r="J46" i="78"/>
  <c r="J54" i="78"/>
  <c r="F55" i="78"/>
  <c r="F59" i="78"/>
  <c r="F63" i="78"/>
  <c r="J66" i="78"/>
  <c r="J72" i="78"/>
  <c r="J85" i="78"/>
  <c r="J34" i="79"/>
  <c r="J28" i="79"/>
  <c r="J24" i="79"/>
  <c r="J14" i="79"/>
  <c r="N12" i="79"/>
  <c r="J21" i="79"/>
  <c r="J37" i="79"/>
  <c r="J30" i="79"/>
  <c r="J20" i="79"/>
  <c r="J16" i="79"/>
  <c r="J25" i="79"/>
  <c r="H16" i="79"/>
  <c r="L16" i="79" s="1"/>
  <c r="F32" i="79"/>
  <c r="N14" i="80"/>
  <c r="L14" i="80"/>
  <c r="L16" i="80"/>
  <c r="N19" i="80"/>
  <c r="H16" i="81"/>
  <c r="J66" i="82"/>
  <c r="J67" i="82"/>
  <c r="X69" i="82"/>
  <c r="Z69" i="82" s="1"/>
  <c r="J92" i="82"/>
  <c r="Z22" i="83"/>
  <c r="X22" i="83"/>
  <c r="X55" i="83"/>
  <c r="Z55" i="83"/>
  <c r="V57" i="83"/>
  <c r="P16" i="84"/>
  <c r="J19" i="80"/>
  <c r="F22" i="80"/>
  <c r="R23" i="80"/>
  <c r="F30" i="81"/>
  <c r="F24" i="81"/>
  <c r="F21" i="81"/>
  <c r="F22" i="81"/>
  <c r="V35" i="82"/>
  <c r="V76" i="82"/>
  <c r="Z89" i="82"/>
  <c r="F95" i="83"/>
  <c r="F88" i="83"/>
  <c r="F83" i="83"/>
  <c r="F86" i="83"/>
  <c r="F79" i="83"/>
  <c r="F75" i="83"/>
  <c r="F92" i="83"/>
  <c r="F90" i="83"/>
  <c r="F78" i="83"/>
  <c r="F74" i="83"/>
  <c r="F61" i="83"/>
  <c r="F54" i="83"/>
  <c r="F42" i="83"/>
  <c r="F34" i="83"/>
  <c r="F30" i="83"/>
  <c r="F85" i="83"/>
  <c r="F73" i="83"/>
  <c r="F68" i="83"/>
  <c r="F65" i="83"/>
  <c r="F57" i="83"/>
  <c r="F48" i="83"/>
  <c r="F45" i="83"/>
  <c r="F41" i="83"/>
  <c r="F29" i="83"/>
  <c r="F17" i="83"/>
  <c r="F82" i="83"/>
  <c r="F72" i="83"/>
  <c r="F64" i="83"/>
  <c r="F60" i="83"/>
  <c r="F56" i="83"/>
  <c r="F51" i="83"/>
  <c r="F40" i="83"/>
  <c r="F28" i="83"/>
  <c r="F23" i="83"/>
  <c r="F22" i="83"/>
  <c r="L12" i="83"/>
  <c r="F71" i="83"/>
  <c r="F67" i="83"/>
  <c r="F63" i="83"/>
  <c r="F59" i="83"/>
  <c r="F47" i="83"/>
  <c r="F39" i="83"/>
  <c r="F27" i="83"/>
  <c r="F69" i="83"/>
  <c r="F49" i="83"/>
  <c r="F44" i="83"/>
  <c r="F37" i="83"/>
  <c r="F25" i="83"/>
  <c r="F16" i="83"/>
  <c r="F35" i="83"/>
  <c r="F53" i="83"/>
  <c r="F77" i="83"/>
  <c r="H53" i="84"/>
  <c r="N16" i="84"/>
  <c r="N18" i="85"/>
  <c r="V18" i="85"/>
  <c r="F16" i="80"/>
  <c r="V16" i="80"/>
  <c r="J18" i="80"/>
  <c r="V18" i="80"/>
  <c r="J22" i="80"/>
  <c r="J26" i="80"/>
  <c r="R28" i="80"/>
  <c r="J32" i="80"/>
  <c r="R35" i="80"/>
  <c r="J21" i="81"/>
  <c r="J23" i="81"/>
  <c r="F14" i="81"/>
  <c r="J22" i="81"/>
  <c r="F23" i="81"/>
  <c r="R30" i="81"/>
  <c r="D12" i="82"/>
  <c r="X14" i="82"/>
  <c r="P12" i="82"/>
  <c r="V28" i="82"/>
  <c r="V34" i="82"/>
  <c r="V38" i="82"/>
  <c r="V39" i="82"/>
  <c r="V40" i="82"/>
  <c r="N49" i="82"/>
  <c r="N51" i="82"/>
  <c r="N53" i="82"/>
  <c r="V58" i="82"/>
  <c r="V74" i="82"/>
  <c r="N16" i="83"/>
  <c r="F24" i="83"/>
  <c r="F33" i="83"/>
  <c r="L44" i="83"/>
  <c r="L46" i="83"/>
  <c r="N46" i="83" s="1"/>
  <c r="F52" i="83"/>
  <c r="N53" i="83"/>
  <c r="F62" i="83"/>
  <c r="F76" i="83"/>
  <c r="N77" i="83"/>
  <c r="Z20" i="86"/>
  <c r="R19" i="80"/>
  <c r="V21" i="80"/>
  <c r="R22" i="80"/>
  <c r="J23" i="80"/>
  <c r="D16" i="81"/>
  <c r="J19" i="81"/>
  <c r="R21" i="81"/>
  <c r="V22" i="81"/>
  <c r="J26" i="81"/>
  <c r="V28" i="81"/>
  <c r="T23" i="82"/>
  <c r="V32" i="82"/>
  <c r="V36" i="82"/>
  <c r="V46" i="82"/>
  <c r="V48" i="82"/>
  <c r="Z51" i="82"/>
  <c r="V52" i="82"/>
  <c r="V54" i="82"/>
  <c r="V70" i="82"/>
  <c r="Z16" i="83"/>
  <c r="F31" i="83"/>
  <c r="F50" i="83"/>
  <c r="V20" i="85"/>
  <c r="Z23" i="85"/>
  <c r="X23" i="85"/>
  <c r="R26" i="80"/>
  <c r="J28" i="80"/>
  <c r="F16" i="81"/>
  <c r="V16" i="81"/>
  <c r="J18" i="81"/>
  <c r="V18" i="81"/>
  <c r="R23" i="81"/>
  <c r="R24" i="81"/>
  <c r="F32" i="81"/>
  <c r="V35" i="81"/>
  <c r="V97" i="82"/>
  <c r="V85" i="82"/>
  <c r="V81" i="82"/>
  <c r="V73" i="82"/>
  <c r="V65" i="82"/>
  <c r="V57" i="82"/>
  <c r="V53" i="82"/>
  <c r="V45" i="82"/>
  <c r="V37" i="82"/>
  <c r="V33" i="82"/>
  <c r="V21" i="82"/>
  <c r="V88" i="82"/>
  <c r="V84" i="82"/>
  <c r="V80" i="82"/>
  <c r="V72" i="82"/>
  <c r="V87" i="82"/>
  <c r="V79" i="82"/>
  <c r="V75" i="82"/>
  <c r="V71" i="82"/>
  <c r="V67" i="82"/>
  <c r="V59" i="82"/>
  <c r="V47" i="82"/>
  <c r="V43" i="82"/>
  <c r="V31" i="82"/>
  <c r="V19" i="82"/>
  <c r="V93" i="82"/>
  <c r="V89" i="82"/>
  <c r="V77" i="82"/>
  <c r="V69" i="82"/>
  <c r="V61" i="82"/>
  <c r="V49" i="82"/>
  <c r="V41" i="82"/>
  <c r="V29" i="82"/>
  <c r="V25" i="82"/>
  <c r="V23" i="82"/>
  <c r="V20" i="82"/>
  <c r="Z49" i="82"/>
  <c r="V51" i="82"/>
  <c r="V68" i="82"/>
  <c r="X76" i="82"/>
  <c r="Z76" i="82" s="1"/>
  <c r="V83" i="82"/>
  <c r="N89" i="82"/>
  <c r="D20" i="83"/>
  <c r="F26" i="83"/>
  <c r="L58" i="83"/>
  <c r="N58" i="83" s="1"/>
  <c r="Z82" i="83"/>
  <c r="Z15" i="86"/>
  <c r="X15" i="86"/>
  <c r="T18" i="86"/>
  <c r="Z25" i="82"/>
  <c r="H88" i="83"/>
  <c r="T16" i="85"/>
  <c r="V19" i="85"/>
  <c r="V22" i="85"/>
  <c r="V14" i="85"/>
  <c r="V28" i="85"/>
  <c r="V26" i="85"/>
  <c r="V35" i="85"/>
  <c r="V32" i="85"/>
  <c r="V30" i="85"/>
  <c r="V21" i="85"/>
  <c r="Z12" i="85"/>
  <c r="V24" i="85"/>
  <c r="V23" i="85"/>
  <c r="X12" i="85"/>
  <c r="N20" i="86"/>
  <c r="T59" i="87"/>
  <c r="Z16" i="87"/>
  <c r="J84" i="88"/>
  <c r="J78" i="88"/>
  <c r="J74" i="88"/>
  <c r="J60" i="88"/>
  <c r="J52" i="88"/>
  <c r="J46" i="88"/>
  <c r="J38" i="88"/>
  <c r="J77" i="88"/>
  <c r="J73" i="88"/>
  <c r="J69" i="88"/>
  <c r="J65" i="88"/>
  <c r="J57" i="88"/>
  <c r="J49" i="88"/>
  <c r="J45" i="88"/>
  <c r="J86" i="88"/>
  <c r="J76" i="88"/>
  <c r="J72" i="88"/>
  <c r="J68" i="88"/>
  <c r="J62" i="88"/>
  <c r="J54" i="88"/>
  <c r="J83" i="88"/>
  <c r="J71" i="88"/>
  <c r="J67" i="88"/>
  <c r="J59" i="88"/>
  <c r="J51" i="88"/>
  <c r="J43" i="88"/>
  <c r="J37" i="88"/>
  <c r="J82" i="88"/>
  <c r="J64" i="88"/>
  <c r="J56" i="88"/>
  <c r="J48" i="88"/>
  <c r="J42" i="88"/>
  <c r="J30" i="88"/>
  <c r="J89" i="88"/>
  <c r="J85" i="88"/>
  <c r="J81" i="88"/>
  <c r="J75" i="88"/>
  <c r="J61" i="88"/>
  <c r="J53" i="88"/>
  <c r="J41" i="88"/>
  <c r="J29" i="88"/>
  <c r="J47" i="88"/>
  <c r="J28" i="88"/>
  <c r="J18" i="88"/>
  <c r="J55" i="88"/>
  <c r="J39" i="88"/>
  <c r="J34" i="88"/>
  <c r="J33" i="88"/>
  <c r="J31" i="88"/>
  <c r="J27" i="88"/>
  <c r="J23" i="88"/>
  <c r="J93" i="88"/>
  <c r="J80" i="88"/>
  <c r="J63" i="88"/>
  <c r="J35" i="88"/>
  <c r="J32" i="88"/>
  <c r="H23" i="88"/>
  <c r="J70" i="88"/>
  <c r="J58" i="88"/>
  <c r="J40" i="88"/>
  <c r="J36" i="88"/>
  <c r="J26" i="88"/>
  <c r="J20" i="88"/>
  <c r="J19" i="88"/>
  <c r="J50" i="88"/>
  <c r="J25" i="88"/>
  <c r="J87" i="88"/>
  <c r="J66" i="88"/>
  <c r="J44" i="88"/>
  <c r="J20" i="83"/>
  <c r="J24" i="83"/>
  <c r="J32" i="83"/>
  <c r="J36" i="83"/>
  <c r="J46" i="83"/>
  <c r="J52" i="83"/>
  <c r="J58" i="83"/>
  <c r="J66" i="83"/>
  <c r="R48" i="84"/>
  <c r="R33" i="84"/>
  <c r="R21" i="84"/>
  <c r="R16" i="84"/>
  <c r="R55" i="84"/>
  <c r="R31" i="84"/>
  <c r="R27" i="84"/>
  <c r="R60" i="84"/>
  <c r="R53" i="84"/>
  <c r="R46" i="84"/>
  <c r="R43" i="84"/>
  <c r="R38" i="84"/>
  <c r="R30" i="84"/>
  <c r="R26" i="84"/>
  <c r="R19" i="84"/>
  <c r="R28" i="84"/>
  <c r="R57" i="84"/>
  <c r="X14" i="85"/>
  <c r="X21" i="85"/>
  <c r="L12" i="86"/>
  <c r="N19" i="87"/>
  <c r="X49" i="87"/>
  <c r="Z49" i="87" s="1"/>
  <c r="J80" i="83"/>
  <c r="J79" i="83"/>
  <c r="J16" i="83"/>
  <c r="J26" i="83"/>
  <c r="J38" i="83"/>
  <c r="J44" i="83"/>
  <c r="J50" i="83"/>
  <c r="J62" i="83"/>
  <c r="J70" i="83"/>
  <c r="J81" i="83"/>
  <c r="R44" i="84"/>
  <c r="L20" i="86"/>
  <c r="F34" i="86"/>
  <c r="Z26" i="88"/>
  <c r="X26" i="88"/>
  <c r="V26" i="88"/>
  <c r="R45" i="84"/>
  <c r="R51" i="84"/>
  <c r="D18" i="86"/>
  <c r="F20" i="86"/>
  <c r="F32" i="86"/>
  <c r="J79" i="88"/>
  <c r="N12" i="83"/>
  <c r="J28" i="83"/>
  <c r="J40" i="83"/>
  <c r="J56" i="83"/>
  <c r="J60" i="83"/>
  <c r="J64" i="83"/>
  <c r="J72" i="83"/>
  <c r="N82" i="83"/>
  <c r="L41" i="84"/>
  <c r="R49" i="84"/>
  <c r="R50" i="84"/>
  <c r="L23" i="85"/>
  <c r="Z25" i="88"/>
  <c r="V25" i="88"/>
  <c r="J41" i="83"/>
  <c r="J45" i="83"/>
  <c r="J51" i="83"/>
  <c r="J57" i="83"/>
  <c r="J65" i="83"/>
  <c r="J73" i="83"/>
  <c r="J82" i="83"/>
  <c r="J83" i="83"/>
  <c r="L16" i="84"/>
  <c r="R18" i="84"/>
  <c r="F22" i="85"/>
  <c r="D16" i="85"/>
  <c r="F30" i="85"/>
  <c r="F24" i="85"/>
  <c r="F19" i="85"/>
  <c r="F18" i="85"/>
  <c r="L12" i="85"/>
  <c r="F14" i="85"/>
  <c r="F23" i="85"/>
  <c r="L21" i="86"/>
  <c r="X25" i="86"/>
  <c r="D59" i="87"/>
  <c r="J74" i="83"/>
  <c r="J78" i="83"/>
  <c r="J85" i="83"/>
  <c r="J90" i="83"/>
  <c r="F31" i="86"/>
  <c r="F28" i="86"/>
  <c r="F30" i="86"/>
  <c r="F25" i="86"/>
  <c r="F38" i="86"/>
  <c r="F29" i="86"/>
  <c r="F23" i="86"/>
  <c r="F15" i="86"/>
  <c r="F27" i="86"/>
  <c r="F22" i="86"/>
  <c r="F26" i="86"/>
  <c r="F21" i="86"/>
  <c r="N27" i="86"/>
  <c r="L27" i="86"/>
  <c r="L44" i="87"/>
  <c r="N44" i="87"/>
  <c r="T93" i="90"/>
  <c r="V23" i="90"/>
  <c r="J21" i="84"/>
  <c r="F22" i="84"/>
  <c r="J33" i="84"/>
  <c r="F34" i="84"/>
  <c r="J39" i="84"/>
  <c r="F42" i="84"/>
  <c r="F45" i="84"/>
  <c r="F51" i="84"/>
  <c r="J57" i="84"/>
  <c r="R26" i="85"/>
  <c r="J28" i="85"/>
  <c r="R32" i="85"/>
  <c r="J35" i="85"/>
  <c r="V31" i="86"/>
  <c r="V25" i="86"/>
  <c r="V30" i="86"/>
  <c r="V18" i="86"/>
  <c r="V20" i="86"/>
  <c r="V32" i="86"/>
  <c r="X18" i="87"/>
  <c r="Z18" i="87" s="1"/>
  <c r="Z52" i="87"/>
  <c r="J25" i="90"/>
  <c r="N48" i="91"/>
  <c r="J22" i="84"/>
  <c r="F23" i="84"/>
  <c r="J28" i="84"/>
  <c r="J34" i="84"/>
  <c r="F35" i="84"/>
  <c r="J42" i="84"/>
  <c r="J51" i="84"/>
  <c r="P16" i="85"/>
  <c r="R18" i="85"/>
  <c r="R20" i="85"/>
  <c r="J21" i="85"/>
  <c r="V29" i="86"/>
  <c r="V36" i="86"/>
  <c r="R48" i="87"/>
  <c r="R32" i="87"/>
  <c r="R28" i="87"/>
  <c r="R20" i="87"/>
  <c r="R18" i="87"/>
  <c r="P16" i="87"/>
  <c r="R51" i="87"/>
  <c r="R47" i="87"/>
  <c r="R44" i="87"/>
  <c r="R39" i="87"/>
  <c r="R31" i="87"/>
  <c r="R27" i="87"/>
  <c r="R63" i="87"/>
  <c r="R57" i="87"/>
  <c r="R50" i="87"/>
  <c r="R38" i="87"/>
  <c r="R30" i="87"/>
  <c r="R26" i="87"/>
  <c r="R19" i="87"/>
  <c r="R49" i="87"/>
  <c r="R36" i="87"/>
  <c r="R29" i="87"/>
  <c r="R24" i="87"/>
  <c r="X12" i="87"/>
  <c r="R61" i="87"/>
  <c r="R55" i="87"/>
  <c r="R52" i="87"/>
  <c r="R43" i="87"/>
  <c r="R40" i="87"/>
  <c r="R35" i="87"/>
  <c r="R23" i="87"/>
  <c r="R16" i="87"/>
  <c r="Z29" i="87"/>
  <c r="R45" i="87"/>
  <c r="Z54" i="87"/>
  <c r="D12" i="88"/>
  <c r="Z18" i="88"/>
  <c r="T23" i="88"/>
  <c r="R87" i="90"/>
  <c r="R83" i="90"/>
  <c r="R76" i="90"/>
  <c r="R63" i="90"/>
  <c r="R60" i="90"/>
  <c r="R55" i="90"/>
  <c r="R52" i="90"/>
  <c r="R47" i="90"/>
  <c r="R39" i="90"/>
  <c r="R35" i="90"/>
  <c r="R82" i="90"/>
  <c r="R46" i="90"/>
  <c r="R38" i="90"/>
  <c r="R34" i="90"/>
  <c r="R95" i="90"/>
  <c r="R89" i="90"/>
  <c r="R86" i="90"/>
  <c r="R81" i="90"/>
  <c r="R73" i="90"/>
  <c r="R65" i="90"/>
  <c r="R62" i="90"/>
  <c r="R57" i="90"/>
  <c r="R54" i="90"/>
  <c r="R49" i="90"/>
  <c r="R45" i="90"/>
  <c r="R33" i="90"/>
  <c r="R80" i="90"/>
  <c r="R72" i="90"/>
  <c r="R68" i="90"/>
  <c r="R44" i="90"/>
  <c r="R37" i="90"/>
  <c r="R32" i="90"/>
  <c r="R88" i="90"/>
  <c r="R79" i="90"/>
  <c r="R75" i="90"/>
  <c r="R71" i="90"/>
  <c r="R67" i="90"/>
  <c r="R64" i="90"/>
  <c r="R59" i="90"/>
  <c r="R56" i="90"/>
  <c r="R51" i="90"/>
  <c r="R48" i="90"/>
  <c r="R43" i="90"/>
  <c r="R31" i="90"/>
  <c r="R85" i="90"/>
  <c r="R77" i="90"/>
  <c r="R74" i="90"/>
  <c r="R66" i="90"/>
  <c r="R61" i="90"/>
  <c r="R58" i="90"/>
  <c r="R53" i="90"/>
  <c r="R50" i="90"/>
  <c r="R41" i="90"/>
  <c r="R29" i="90"/>
  <c r="R69" i="90"/>
  <c r="R28" i="90"/>
  <c r="R91" i="90"/>
  <c r="R42" i="90"/>
  <c r="R27" i="90"/>
  <c r="R25" i="90"/>
  <c r="P23" i="90"/>
  <c r="R70" i="90"/>
  <c r="R40" i="90"/>
  <c r="R26" i="90"/>
  <c r="R21" i="90"/>
  <c r="R36" i="90"/>
  <c r="R30" i="90"/>
  <c r="R20" i="90"/>
  <c r="X12" i="90"/>
  <c r="Z12" i="90" s="1"/>
  <c r="R84" i="90"/>
  <c r="R78" i="90"/>
  <c r="R19" i="90"/>
  <c r="N12" i="84"/>
  <c r="J14" i="84"/>
  <c r="J24" i="84"/>
  <c r="F25" i="84"/>
  <c r="F29" i="84"/>
  <c r="J36" i="84"/>
  <c r="J40" i="84"/>
  <c r="V15" i="86"/>
  <c r="V23" i="86"/>
  <c r="V24" i="86"/>
  <c r="L31" i="86"/>
  <c r="R46" i="87"/>
  <c r="P12" i="88"/>
  <c r="N25" i="88"/>
  <c r="Z48" i="88"/>
  <c r="H28" i="89"/>
  <c r="N24" i="89"/>
  <c r="L18" i="87"/>
  <c r="N18" i="87" s="1"/>
  <c r="N26" i="88"/>
  <c r="V56" i="88"/>
  <c r="F19" i="89"/>
  <c r="F16" i="89"/>
  <c r="D16" i="89"/>
  <c r="F28" i="89"/>
  <c r="F22" i="89"/>
  <c r="F26" i="89"/>
  <c r="F20" i="89"/>
  <c r="L12" i="89"/>
  <c r="F18" i="89"/>
  <c r="F14" i="89"/>
  <c r="F31" i="89"/>
  <c r="F16" i="87"/>
  <c r="V16" i="87"/>
  <c r="J18" i="87"/>
  <c r="V18" i="87"/>
  <c r="V22" i="87"/>
  <c r="J26" i="87"/>
  <c r="F27" i="87"/>
  <c r="J30" i="87"/>
  <c r="F31" i="87"/>
  <c r="V34" i="87"/>
  <c r="J38" i="87"/>
  <c r="F39" i="87"/>
  <c r="F42" i="87"/>
  <c r="V42" i="87"/>
  <c r="J44" i="87"/>
  <c r="F47" i="87"/>
  <c r="J50" i="87"/>
  <c r="F51" i="87"/>
  <c r="F54" i="87"/>
  <c r="V54" i="87"/>
  <c r="V27" i="88"/>
  <c r="V30" i="88"/>
  <c r="V31" i="88"/>
  <c r="V48" i="88"/>
  <c r="N70" i="88"/>
  <c r="V71" i="88"/>
  <c r="Z75" i="88"/>
  <c r="T16" i="89"/>
  <c r="Z14" i="89"/>
  <c r="Z18" i="90"/>
  <c r="H16" i="87"/>
  <c r="J27" i="87"/>
  <c r="F28" i="87"/>
  <c r="J31" i="87"/>
  <c r="F32" i="87"/>
  <c r="V35" i="87"/>
  <c r="J39" i="87"/>
  <c r="V43" i="87"/>
  <c r="J47" i="87"/>
  <c r="F48" i="87"/>
  <c r="J51" i="87"/>
  <c r="V55" i="87"/>
  <c r="F59" i="87"/>
  <c r="V59" i="87"/>
  <c r="V61" i="87"/>
  <c r="F66" i="87"/>
  <c r="V66" i="87"/>
  <c r="V28" i="88"/>
  <c r="V29" i="88"/>
  <c r="N50" i="88"/>
  <c r="V51" i="88"/>
  <c r="V59" i="88"/>
  <c r="L25" i="90"/>
  <c r="N25" i="90" s="1"/>
  <c r="J21" i="87"/>
  <c r="F22" i="87"/>
  <c r="V25" i="87"/>
  <c r="F29" i="87"/>
  <c r="V29" i="87"/>
  <c r="J33" i="87"/>
  <c r="F34" i="87"/>
  <c r="V37" i="87"/>
  <c r="V41" i="87"/>
  <c r="J45" i="87"/>
  <c r="F49" i="87"/>
  <c r="V49" i="87"/>
  <c r="V53" i="87"/>
  <c r="J59" i="87"/>
  <c r="J66" i="87"/>
  <c r="V82" i="88"/>
  <c r="V70" i="88"/>
  <c r="V66" i="88"/>
  <c r="V58" i="88"/>
  <c r="V50" i="88"/>
  <c r="V42" i="88"/>
  <c r="V85" i="88"/>
  <c r="V81" i="88"/>
  <c r="V61" i="88"/>
  <c r="V53" i="88"/>
  <c r="V41" i="88"/>
  <c r="V84" i="88"/>
  <c r="V80" i="88"/>
  <c r="V60" i="88"/>
  <c r="V52" i="88"/>
  <c r="V93" i="88"/>
  <c r="V87" i="88"/>
  <c r="V79" i="88"/>
  <c r="V63" i="88"/>
  <c r="V55" i="88"/>
  <c r="V47" i="88"/>
  <c r="V39" i="88"/>
  <c r="V35" i="88"/>
  <c r="V86" i="88"/>
  <c r="V78" i="88"/>
  <c r="V74" i="88"/>
  <c r="V62" i="88"/>
  <c r="V54" i="88"/>
  <c r="V46" i="88"/>
  <c r="V38" i="88"/>
  <c r="V34" i="88"/>
  <c r="V77" i="88"/>
  <c r="V73" i="88"/>
  <c r="V69" i="88"/>
  <c r="V65" i="88"/>
  <c r="V57" i="88"/>
  <c r="V49" i="88"/>
  <c r="V45" i="88"/>
  <c r="V37" i="88"/>
  <c r="V33" i="88"/>
  <c r="V18" i="88"/>
  <c r="X37" i="88"/>
  <c r="Z64" i="88"/>
  <c r="L19" i="89"/>
  <c r="Z62" i="90"/>
  <c r="J22" i="87"/>
  <c r="F23" i="87"/>
  <c r="V26" i="87"/>
  <c r="V30" i="87"/>
  <c r="J34" i="87"/>
  <c r="F35" i="87"/>
  <c r="V38" i="87"/>
  <c r="J40" i="87"/>
  <c r="F43" i="87"/>
  <c r="F46" i="87"/>
  <c r="V46" i="87"/>
  <c r="V50" i="87"/>
  <c r="J52" i="87"/>
  <c r="F55" i="87"/>
  <c r="F61" i="87"/>
  <c r="V19" i="88"/>
  <c r="V36" i="88"/>
  <c r="V40" i="88"/>
  <c r="V64" i="88"/>
  <c r="L66" i="88"/>
  <c r="N66" i="88" s="1"/>
  <c r="L75" i="88"/>
  <c r="N75" i="88" s="1"/>
  <c r="V83" i="88"/>
  <c r="X25" i="90"/>
  <c r="L12" i="87"/>
  <c r="F18" i="87"/>
  <c r="F19" i="87"/>
  <c r="V19" i="87"/>
  <c r="J23" i="87"/>
  <c r="F24" i="87"/>
  <c r="V27" i="87"/>
  <c r="J29" i="87"/>
  <c r="V31" i="87"/>
  <c r="J35" i="87"/>
  <c r="F36" i="87"/>
  <c r="V39" i="87"/>
  <c r="J43" i="87"/>
  <c r="V47" i="87"/>
  <c r="J49" i="87"/>
  <c r="V51" i="87"/>
  <c r="J55" i="87"/>
  <c r="F57" i="87"/>
  <c r="V57" i="87"/>
  <c r="Z37" i="88"/>
  <c r="X56" i="88"/>
  <c r="Z56" i="88" s="1"/>
  <c r="V68" i="88"/>
  <c r="D93" i="90"/>
  <c r="F93" i="90" s="1"/>
  <c r="Z25" i="90"/>
  <c r="X58" i="90"/>
  <c r="Z58" i="90" s="1"/>
  <c r="L15" i="91"/>
  <c r="D12" i="91"/>
  <c r="V14" i="89"/>
  <c r="V18" i="89"/>
  <c r="R22" i="89"/>
  <c r="J24" i="89"/>
  <c r="R28" i="89"/>
  <c r="J31" i="89"/>
  <c r="V86" i="90"/>
  <c r="V82" i="90"/>
  <c r="V62" i="90"/>
  <c r="V54" i="90"/>
  <c r="V46" i="90"/>
  <c r="V38" i="90"/>
  <c r="V34" i="90"/>
  <c r="V95" i="90"/>
  <c r="V93" i="90"/>
  <c r="V89" i="90"/>
  <c r="V81" i="90"/>
  <c r="V73" i="90"/>
  <c r="V65" i="90"/>
  <c r="V57" i="90"/>
  <c r="V49" i="90"/>
  <c r="V45" i="90"/>
  <c r="V37" i="90"/>
  <c r="V33" i="90"/>
  <c r="V88" i="90"/>
  <c r="V80" i="90"/>
  <c r="V72" i="90"/>
  <c r="V68" i="90"/>
  <c r="V64" i="90"/>
  <c r="V56" i="90"/>
  <c r="V48" i="90"/>
  <c r="V44" i="90"/>
  <c r="V32" i="90"/>
  <c r="V79" i="90"/>
  <c r="V75" i="90"/>
  <c r="V71" i="90"/>
  <c r="V67" i="90"/>
  <c r="V59" i="90"/>
  <c r="V51" i="90"/>
  <c r="V43" i="90"/>
  <c r="V31" i="90"/>
  <c r="V78" i="90"/>
  <c r="V74" i="90"/>
  <c r="V70" i="90"/>
  <c r="V66" i="90"/>
  <c r="V58" i="90"/>
  <c r="V50" i="90"/>
  <c r="V42" i="90"/>
  <c r="V30" i="90"/>
  <c r="V84" i="90"/>
  <c r="V76" i="90"/>
  <c r="V60" i="90"/>
  <c r="V52" i="90"/>
  <c r="V40" i="90"/>
  <c r="V36" i="90"/>
  <c r="V28" i="90"/>
  <c r="F18" i="90"/>
  <c r="V18" i="90"/>
  <c r="H23" i="90"/>
  <c r="F27" i="90"/>
  <c r="F29" i="90"/>
  <c r="J33" i="90"/>
  <c r="V41" i="90"/>
  <c r="N60" i="90"/>
  <c r="V90" i="91"/>
  <c r="V84" i="91"/>
  <c r="V80" i="91"/>
  <c r="V60" i="91"/>
  <c r="V52" i="91"/>
  <c r="V40" i="91"/>
  <c r="V83" i="91"/>
  <c r="V79" i="91"/>
  <c r="V63" i="91"/>
  <c r="V55" i="91"/>
  <c r="V47" i="91"/>
  <c r="V86" i="91"/>
  <c r="V78" i="91"/>
  <c r="V74" i="91"/>
  <c r="V62" i="91"/>
  <c r="V54" i="91"/>
  <c r="V46" i="91"/>
  <c r="V38" i="91"/>
  <c r="V85" i="91"/>
  <c r="V77" i="91"/>
  <c r="V73" i="91"/>
  <c r="V69" i="91"/>
  <c r="V65" i="91"/>
  <c r="V57" i="91"/>
  <c r="V49" i="91"/>
  <c r="V45" i="91"/>
  <c r="V94" i="91"/>
  <c r="V88" i="91"/>
  <c r="V76" i="91"/>
  <c r="V72" i="91"/>
  <c r="V68" i="91"/>
  <c r="V64" i="91"/>
  <c r="V56" i="91"/>
  <c r="V48" i="91"/>
  <c r="V82" i="91"/>
  <c r="V70" i="91"/>
  <c r="V66" i="91"/>
  <c r="V58" i="91"/>
  <c r="V50" i="91"/>
  <c r="V42" i="91"/>
  <c r="V75" i="91"/>
  <c r="V29" i="91"/>
  <c r="V25" i="91"/>
  <c r="V61" i="91"/>
  <c r="V36" i="91"/>
  <c r="V28" i="91"/>
  <c r="T23" i="91"/>
  <c r="V23" i="91" s="1"/>
  <c r="V35" i="91"/>
  <c r="V27" i="91"/>
  <c r="V51" i="91"/>
  <c r="V34" i="91"/>
  <c r="V26" i="91"/>
  <c r="V81" i="91"/>
  <c r="V43" i="91"/>
  <c r="V37" i="91"/>
  <c r="V33" i="91"/>
  <c r="V21" i="91"/>
  <c r="V31" i="91"/>
  <c r="V19" i="91"/>
  <c r="Z37" i="91"/>
  <c r="V39" i="91"/>
  <c r="P16" i="89"/>
  <c r="V19" i="90"/>
  <c r="J23" i="90"/>
  <c r="J27" i="90"/>
  <c r="F28" i="90"/>
  <c r="J29" i="90"/>
  <c r="J49" i="90"/>
  <c r="Z50" i="90"/>
  <c r="L52" i="90"/>
  <c r="V53" i="90"/>
  <c r="J59" i="90"/>
  <c r="J73" i="90"/>
  <c r="X74" i="90"/>
  <c r="F91" i="90"/>
  <c r="V18" i="91"/>
  <c r="J14" i="89"/>
  <c r="R16" i="89"/>
  <c r="J18" i="89"/>
  <c r="J20" i="89"/>
  <c r="V22" i="89"/>
  <c r="J26" i="89"/>
  <c r="V28" i="89"/>
  <c r="J18" i="90"/>
  <c r="V20" i="90"/>
  <c r="J28" i="90"/>
  <c r="F32" i="90"/>
  <c r="J45" i="90"/>
  <c r="N52" i="90"/>
  <c r="F69" i="90"/>
  <c r="Z74" i="90"/>
  <c r="V77" i="90"/>
  <c r="V83" i="90"/>
  <c r="N86" i="90"/>
  <c r="V87" i="90"/>
  <c r="N25" i="91"/>
  <c r="V30" i="91"/>
  <c r="V44" i="91"/>
  <c r="V53" i="91"/>
  <c r="V59" i="91"/>
  <c r="R19" i="89"/>
  <c r="F86" i="90"/>
  <c r="F79" i="90"/>
  <c r="F75" i="90"/>
  <c r="F71" i="90"/>
  <c r="F67" i="90"/>
  <c r="F62" i="90"/>
  <c r="F59" i="90"/>
  <c r="F54" i="90"/>
  <c r="F51" i="90"/>
  <c r="F43" i="90"/>
  <c r="F31" i="90"/>
  <c r="F78" i="90"/>
  <c r="F70" i="90"/>
  <c r="F42" i="90"/>
  <c r="F37" i="90"/>
  <c r="F88" i="90"/>
  <c r="F85" i="90"/>
  <c r="F77" i="90"/>
  <c r="F64" i="90"/>
  <c r="F61" i="90"/>
  <c r="F56" i="90"/>
  <c r="F53" i="90"/>
  <c r="F48" i="90"/>
  <c r="F41" i="90"/>
  <c r="F84" i="90"/>
  <c r="F40" i="90"/>
  <c r="F36" i="90"/>
  <c r="F87" i="90"/>
  <c r="F83" i="90"/>
  <c r="F74" i="90"/>
  <c r="F66" i="90"/>
  <c r="F63" i="90"/>
  <c r="F58" i="90"/>
  <c r="F55" i="90"/>
  <c r="F50" i="90"/>
  <c r="F47" i="90"/>
  <c r="F39" i="90"/>
  <c r="F35" i="90"/>
  <c r="F95" i="90"/>
  <c r="F89" i="90"/>
  <c r="F81" i="90"/>
  <c r="F76" i="90"/>
  <c r="F73" i="90"/>
  <c r="F65" i="90"/>
  <c r="F60" i="90"/>
  <c r="F57" i="90"/>
  <c r="F52" i="90"/>
  <c r="F49" i="90"/>
  <c r="F45" i="90"/>
  <c r="F33" i="90"/>
  <c r="J51" i="90"/>
  <c r="X60" i="90"/>
  <c r="Z60" i="90" s="1"/>
  <c r="N62" i="90"/>
  <c r="V63" i="90"/>
  <c r="N76" i="90"/>
  <c r="F82" i="90"/>
  <c r="N52" i="91"/>
  <c r="L52" i="91"/>
  <c r="J22" i="89"/>
  <c r="R24" i="89"/>
  <c r="R31" i="89"/>
  <c r="J88" i="90"/>
  <c r="J78" i="90"/>
  <c r="J70" i="90"/>
  <c r="J64" i="90"/>
  <c r="J56" i="90"/>
  <c r="J48" i="90"/>
  <c r="J42" i="90"/>
  <c r="J30" i="90"/>
  <c r="J85" i="90"/>
  <c r="J77" i="90"/>
  <c r="J61" i="90"/>
  <c r="J53" i="90"/>
  <c r="J41" i="90"/>
  <c r="J84" i="90"/>
  <c r="J74" i="90"/>
  <c r="J66" i="90"/>
  <c r="J58" i="90"/>
  <c r="J50" i="90"/>
  <c r="J40" i="90"/>
  <c r="J36" i="90"/>
  <c r="J91" i="90"/>
  <c r="J87" i="90"/>
  <c r="J83" i="90"/>
  <c r="J69" i="90"/>
  <c r="J63" i="90"/>
  <c r="J55" i="90"/>
  <c r="J47" i="90"/>
  <c r="J39" i="90"/>
  <c r="J35" i="90"/>
  <c r="J82" i="90"/>
  <c r="J76" i="90"/>
  <c r="J60" i="90"/>
  <c r="J52" i="90"/>
  <c r="J46" i="90"/>
  <c r="J38" i="90"/>
  <c r="J34" i="90"/>
  <c r="J86" i="90"/>
  <c r="J80" i="90"/>
  <c r="J72" i="90"/>
  <c r="J68" i="90"/>
  <c r="J62" i="90"/>
  <c r="J54" i="90"/>
  <c r="J44" i="90"/>
  <c r="J32" i="90"/>
  <c r="F19" i="90"/>
  <c r="F25" i="90"/>
  <c r="F26" i="90"/>
  <c r="V26" i="90"/>
  <c r="V29" i="90"/>
  <c r="V35" i="90"/>
  <c r="F38" i="90"/>
  <c r="V39" i="90"/>
  <c r="N48" i="90"/>
  <c r="Z52" i="90"/>
  <c r="X66" i="90"/>
  <c r="Z66" i="90" s="1"/>
  <c r="J75" i="90"/>
  <c r="J79" i="90"/>
  <c r="J89" i="90"/>
  <c r="V20" i="91"/>
  <c r="V41" i="91"/>
  <c r="Z56" i="91"/>
  <c r="X12" i="89"/>
  <c r="R20" i="89"/>
  <c r="L12" i="90"/>
  <c r="N12" i="90" s="1"/>
  <c r="F20" i="90"/>
  <c r="F44" i="90"/>
  <c r="N54" i="90"/>
  <c r="V55" i="90"/>
  <c r="J65" i="90"/>
  <c r="F68" i="90"/>
  <c r="F72" i="90"/>
  <c r="Z76" i="90"/>
  <c r="Z86" i="90"/>
  <c r="H92" i="91"/>
  <c r="J92" i="91" s="1"/>
  <c r="J23" i="91"/>
  <c r="J27" i="91"/>
  <c r="J35" i="91"/>
  <c r="X56" i="91"/>
  <c r="Z60" i="91"/>
  <c r="N66" i="91"/>
  <c r="N70" i="91"/>
  <c r="Z19" i="92"/>
  <c r="N42" i="92"/>
  <c r="N46" i="92"/>
  <c r="N58" i="91"/>
  <c r="N62" i="91"/>
  <c r="Z66" i="91"/>
  <c r="Z70" i="91"/>
  <c r="N75" i="91"/>
  <c r="F26" i="92"/>
  <c r="Z46" i="92"/>
  <c r="F48" i="92"/>
  <c r="N55" i="92"/>
  <c r="J94" i="91"/>
  <c r="J88" i="91"/>
  <c r="J76" i="91"/>
  <c r="J72" i="91"/>
  <c r="J68" i="91"/>
  <c r="J62" i="91"/>
  <c r="J54" i="91"/>
  <c r="J44" i="91"/>
  <c r="J85" i="91"/>
  <c r="J71" i="91"/>
  <c r="J67" i="91"/>
  <c r="J59" i="91"/>
  <c r="J51" i="91"/>
  <c r="J43" i="91"/>
  <c r="J82" i="91"/>
  <c r="J64" i="91"/>
  <c r="J56" i="91"/>
  <c r="J48" i="91"/>
  <c r="J42" i="91"/>
  <c r="J87" i="91"/>
  <c r="J81" i="91"/>
  <c r="J75" i="91"/>
  <c r="J61" i="91"/>
  <c r="J53" i="91"/>
  <c r="J84" i="91"/>
  <c r="J80" i="91"/>
  <c r="J70" i="91"/>
  <c r="J66" i="91"/>
  <c r="J58" i="91"/>
  <c r="J50" i="91"/>
  <c r="J90" i="91"/>
  <c r="J86" i="91"/>
  <c r="J78" i="91"/>
  <c r="J74" i="91"/>
  <c r="J60" i="91"/>
  <c r="J52" i="91"/>
  <c r="J46" i="91"/>
  <c r="J38" i="91"/>
  <c r="J30" i="91"/>
  <c r="Z48" i="91"/>
  <c r="L50" i="91"/>
  <c r="J57" i="91"/>
  <c r="L20" i="92"/>
  <c r="N51" i="92"/>
  <c r="L69" i="90"/>
  <c r="N69" i="90" s="1"/>
  <c r="L91" i="90"/>
  <c r="J37" i="91"/>
  <c r="J39" i="91"/>
  <c r="J40" i="91"/>
  <c r="J41" i="91"/>
  <c r="J45" i="91"/>
  <c r="N50" i="91"/>
  <c r="N20" i="92"/>
  <c r="L57" i="92"/>
  <c r="N57" i="92" s="1"/>
  <c r="J26" i="91"/>
  <c r="J32" i="91"/>
  <c r="J49" i="91"/>
  <c r="X58" i="91"/>
  <c r="Z58" i="91" s="1"/>
  <c r="Z62" i="91"/>
  <c r="N64" i="91"/>
  <c r="J77" i="91"/>
  <c r="J83" i="91"/>
  <c r="Z85" i="91"/>
  <c r="N19" i="92"/>
  <c r="F36" i="92"/>
  <c r="Z51" i="92"/>
  <c r="P12" i="91"/>
  <c r="J21" i="91"/>
  <c r="J25" i="91"/>
  <c r="J33" i="91"/>
  <c r="Z50" i="91"/>
  <c r="L60" i="91"/>
  <c r="X64" i="91"/>
  <c r="Z64" i="91" s="1"/>
  <c r="F70" i="92"/>
  <c r="F61" i="92"/>
  <c r="F57" i="92"/>
  <c r="F54" i="92"/>
  <c r="F59" i="92"/>
  <c r="F69" i="92"/>
  <c r="F66" i="92"/>
  <c r="F62" i="92"/>
  <c r="F77" i="92"/>
  <c r="F65" i="92"/>
  <c r="F68" i="92"/>
  <c r="F64" i="92"/>
  <c r="F55" i="92"/>
  <c r="F47" i="92"/>
  <c r="F42" i="92"/>
  <c r="F35" i="92"/>
  <c r="F23" i="92"/>
  <c r="F60" i="92"/>
  <c r="F52" i="92"/>
  <c r="F34" i="92"/>
  <c r="F30" i="92"/>
  <c r="F22" i="92"/>
  <c r="F44" i="92"/>
  <c r="F41" i="92"/>
  <c r="F33" i="92"/>
  <c r="F29" i="92"/>
  <c r="F21" i="92"/>
  <c r="F51" i="92"/>
  <c r="F40" i="92"/>
  <c r="F32" i="92"/>
  <c r="F28" i="92"/>
  <c r="F17" i="92"/>
  <c r="F67" i="92"/>
  <c r="F63" i="92"/>
  <c r="F56" i="92"/>
  <c r="F50" i="92"/>
  <c r="F49" i="92"/>
  <c r="F46" i="92"/>
  <c r="F43" i="92"/>
  <c r="F39" i="92"/>
  <c r="F27" i="92"/>
  <c r="D17" i="92"/>
  <c r="F45" i="92"/>
  <c r="F37" i="92"/>
  <c r="F25" i="92"/>
  <c r="F20" i="92"/>
  <c r="F19" i="92"/>
  <c r="Z20" i="92"/>
  <c r="J67" i="92"/>
  <c r="J63" i="92"/>
  <c r="J51" i="92"/>
  <c r="J73" i="92"/>
  <c r="J60" i="92"/>
  <c r="J56" i="92"/>
  <c r="J66" i="92"/>
  <c r="J62" i="92"/>
  <c r="J58" i="92"/>
  <c r="J77" i="92"/>
  <c r="J65" i="92"/>
  <c r="J72" i="92"/>
  <c r="J68" i="92"/>
  <c r="J64" i="92"/>
  <c r="J61" i="92"/>
  <c r="J57" i="92"/>
  <c r="P17" i="92"/>
  <c r="R19" i="92"/>
  <c r="V20" i="92"/>
  <c r="R21" i="92"/>
  <c r="J24" i="92"/>
  <c r="V28" i="92"/>
  <c r="R29" i="92"/>
  <c r="V32" i="92"/>
  <c r="R33" i="92"/>
  <c r="J36" i="92"/>
  <c r="V40" i="92"/>
  <c r="R41" i="92"/>
  <c r="J42" i="92"/>
  <c r="R46" i="92"/>
  <c r="R51" i="92"/>
  <c r="N53" i="92"/>
  <c r="J59" i="92"/>
  <c r="V60" i="92"/>
  <c r="R61" i="92"/>
  <c r="J69" i="92"/>
  <c r="N25" i="93"/>
  <c r="L25" i="93"/>
  <c r="N29" i="93"/>
  <c r="L29" i="93"/>
  <c r="N33" i="93"/>
  <c r="L33" i="93"/>
  <c r="J16" i="94"/>
  <c r="T75" i="92"/>
  <c r="V75" i="92" s="1"/>
  <c r="J20" i="92"/>
  <c r="V22" i="92"/>
  <c r="R23" i="92"/>
  <c r="J26" i="92"/>
  <c r="V30" i="92"/>
  <c r="L31" i="92"/>
  <c r="N31" i="92" s="1"/>
  <c r="V34" i="92"/>
  <c r="R35" i="92"/>
  <c r="J38" i="92"/>
  <c r="R44" i="92"/>
  <c r="V46" i="92"/>
  <c r="V47" i="92"/>
  <c r="V51" i="92"/>
  <c r="V52" i="92"/>
  <c r="J55" i="92"/>
  <c r="R59" i="92"/>
  <c r="R64" i="92"/>
  <c r="R66" i="92"/>
  <c r="R62" i="92"/>
  <c r="R58" i="92"/>
  <c r="R55" i="92"/>
  <c r="R50" i="92"/>
  <c r="R77" i="92"/>
  <c r="R72" i="92"/>
  <c r="R65" i="92"/>
  <c r="R70" i="92"/>
  <c r="R67" i="92"/>
  <c r="R63" i="92"/>
  <c r="R73" i="92"/>
  <c r="R69" i="92"/>
  <c r="R60" i="92"/>
  <c r="R56" i="92"/>
  <c r="R53" i="92"/>
  <c r="V17" i="92"/>
  <c r="J19" i="92"/>
  <c r="V19" i="92"/>
  <c r="V23" i="92"/>
  <c r="R24" i="92"/>
  <c r="J27" i="92"/>
  <c r="R36" i="92"/>
  <c r="J39" i="92"/>
  <c r="J43" i="92"/>
  <c r="J49" i="92"/>
  <c r="J50" i="92"/>
  <c r="Z15" i="94"/>
  <c r="X15" i="94"/>
  <c r="Z25" i="94"/>
  <c r="X25" i="94"/>
  <c r="Z29" i="94"/>
  <c r="X29" i="94"/>
  <c r="Z33" i="94"/>
  <c r="X33" i="94"/>
  <c r="V77" i="92"/>
  <c r="V65" i="92"/>
  <c r="V61" i="92"/>
  <c r="V57" i="92"/>
  <c r="V49" i="92"/>
  <c r="V68" i="92"/>
  <c r="V64" i="92"/>
  <c r="V70" i="92"/>
  <c r="V73" i="92"/>
  <c r="V69" i="92"/>
  <c r="V59" i="92"/>
  <c r="V55" i="92"/>
  <c r="H17" i="92"/>
  <c r="V24" i="92"/>
  <c r="R25" i="92"/>
  <c r="J28" i="92"/>
  <c r="J32" i="92"/>
  <c r="V36" i="92"/>
  <c r="R37" i="92"/>
  <c r="J40" i="92"/>
  <c r="R42" i="92"/>
  <c r="V44" i="92"/>
  <c r="R45" i="92"/>
  <c r="J46" i="92"/>
  <c r="R54" i="92"/>
  <c r="V58" i="92"/>
  <c r="J34" i="94"/>
  <c r="J31" i="94"/>
  <c r="J27" i="94"/>
  <c r="J24" i="94"/>
  <c r="J21" i="94"/>
  <c r="J18" i="94"/>
  <c r="J36" i="94"/>
  <c r="J33" i="94"/>
  <c r="J29" i="94"/>
  <c r="J25" i="94"/>
  <c r="H18" i="94"/>
  <c r="J15" i="94"/>
  <c r="J22" i="94"/>
  <c r="N12" i="94"/>
  <c r="X12" i="92"/>
  <c r="R15" i="92"/>
  <c r="J21" i="92"/>
  <c r="V25" i="92"/>
  <c r="R26" i="92"/>
  <c r="J29" i="92"/>
  <c r="R31" i="92"/>
  <c r="J33" i="92"/>
  <c r="V37" i="92"/>
  <c r="R38" i="92"/>
  <c r="J41" i="92"/>
  <c r="V45" i="92"/>
  <c r="R48" i="92"/>
  <c r="V53" i="92"/>
  <c r="V54" i="92"/>
  <c r="V56" i="92"/>
  <c r="R57" i="92"/>
  <c r="N61" i="92"/>
  <c r="V62" i="92"/>
  <c r="V66" i="92"/>
  <c r="J70" i="92"/>
  <c r="Z12" i="92"/>
  <c r="R20" i="92"/>
  <c r="J22" i="92"/>
  <c r="V26" i="92"/>
  <c r="R27" i="92"/>
  <c r="J30" i="92"/>
  <c r="J34" i="92"/>
  <c r="V38" i="92"/>
  <c r="R39" i="92"/>
  <c r="V42" i="92"/>
  <c r="R43" i="92"/>
  <c r="J44" i="92"/>
  <c r="R49" i="92"/>
  <c r="V50" i="92"/>
  <c r="J52" i="92"/>
  <c r="Z57" i="92"/>
  <c r="V72" i="92"/>
  <c r="N15" i="93"/>
  <c r="L15" i="93"/>
  <c r="J15" i="93"/>
  <c r="H18" i="93"/>
  <c r="F21" i="93"/>
  <c r="V21" i="93"/>
  <c r="J25" i="93"/>
  <c r="R27" i="93"/>
  <c r="J29" i="93"/>
  <c r="R31" i="93"/>
  <c r="J33" i="93"/>
  <c r="R34" i="93"/>
  <c r="J36" i="93"/>
  <c r="L12" i="94"/>
  <c r="F15" i="94"/>
  <c r="V15" i="94"/>
  <c r="D18" i="94"/>
  <c r="T18" i="94"/>
  <c r="R21" i="94"/>
  <c r="F25" i="94"/>
  <c r="V25" i="94"/>
  <c r="F29" i="94"/>
  <c r="V29" i="94"/>
  <c r="F33" i="94"/>
  <c r="V33" i="94"/>
  <c r="F36" i="94"/>
  <c r="V36" i="94"/>
  <c r="R15" i="95"/>
  <c r="P18" i="95"/>
  <c r="R25" i="95"/>
  <c r="J27" i="95"/>
  <c r="R29" i="95"/>
  <c r="J31" i="95"/>
  <c r="R33" i="95"/>
  <c r="J34" i="95"/>
  <c r="R36" i="95"/>
  <c r="J18" i="93"/>
  <c r="F24" i="93"/>
  <c r="V24" i="93"/>
  <c r="R24" i="94"/>
  <c r="J16" i="95"/>
  <c r="R18" i="95"/>
  <c r="J20" i="95"/>
  <c r="F22" i="95"/>
  <c r="V22" i="95"/>
  <c r="X12" i="93"/>
  <c r="J21" i="93"/>
  <c r="F27" i="93"/>
  <c r="V27" i="93"/>
  <c r="F31" i="93"/>
  <c r="V31" i="93"/>
  <c r="F34" i="93"/>
  <c r="V34" i="93"/>
  <c r="F21" i="94"/>
  <c r="V21" i="94"/>
  <c r="R27" i="94"/>
  <c r="R31" i="94"/>
  <c r="R34" i="94"/>
  <c r="L12" i="95"/>
  <c r="D18" i="95"/>
  <c r="T18" i="95"/>
  <c r="R21" i="95"/>
  <c r="F25" i="95"/>
  <c r="V25" i="95"/>
  <c r="F29" i="95"/>
  <c r="V29" i="95"/>
  <c r="F33" i="95"/>
  <c r="V33" i="95"/>
  <c r="F36" i="95"/>
  <c r="V36" i="95"/>
  <c r="Z12" i="93"/>
  <c r="F16" i="93"/>
  <c r="V16" i="93"/>
  <c r="F20" i="93"/>
  <c r="V20" i="93"/>
  <c r="R22" i="93"/>
  <c r="J24" i="93"/>
  <c r="R16" i="94"/>
  <c r="R20" i="94"/>
  <c r="F24" i="94"/>
  <c r="V24" i="94"/>
  <c r="N12" i="95"/>
  <c r="F18" i="95"/>
  <c r="V18" i="95"/>
  <c r="J22" i="95"/>
  <c r="R24" i="95"/>
  <c r="J25" i="95"/>
  <c r="R27" i="95"/>
  <c r="J29" i="95"/>
  <c r="R31" i="95"/>
  <c r="J33" i="95"/>
  <c r="R34" i="95"/>
  <c r="J36" i="95"/>
  <c r="J16" i="93"/>
  <c r="F22" i="93"/>
  <c r="V22" i="93"/>
  <c r="X13" i="94"/>
  <c r="V16" i="94"/>
  <c r="R22" i="94"/>
  <c r="R16" i="95"/>
  <c r="J18" i="95"/>
  <c r="R20" i="95"/>
  <c r="F24" i="95"/>
  <c r="V24" i="95"/>
  <c r="D72" i="92"/>
  <c r="L72" i="92" s="1"/>
  <c r="N72" i="92" s="1"/>
  <c r="L12" i="93"/>
  <c r="F15" i="93"/>
  <c r="V15" i="93"/>
  <c r="D18" i="93"/>
  <c r="T18" i="93"/>
  <c r="F25" i="93"/>
  <c r="V25" i="93"/>
  <c r="F29" i="93"/>
  <c r="V29" i="93"/>
  <c r="F33" i="93"/>
  <c r="V33" i="93"/>
  <c r="R15" i="94"/>
  <c r="P18" i="94"/>
  <c r="R25" i="94"/>
  <c r="R29" i="94"/>
  <c r="R33" i="94"/>
  <c r="F27" i="95"/>
  <c r="V27" i="95"/>
  <c r="F31" i="95"/>
  <c r="V31" i="95"/>
  <c r="H31" i="37" l="1"/>
  <c r="X18" i="46"/>
  <c r="Z18" i="27"/>
  <c r="N18" i="37"/>
  <c r="T27" i="35"/>
  <c r="Z27" i="35" s="1"/>
  <c r="L18" i="22"/>
  <c r="Z27" i="7"/>
  <c r="Z18" i="7"/>
  <c r="X18" i="26"/>
  <c r="Z18" i="32"/>
  <c r="X18" i="37"/>
  <c r="Z18" i="22"/>
  <c r="N27" i="49"/>
  <c r="Z27" i="22"/>
  <c r="T31" i="19"/>
  <c r="Z31" i="19" s="1"/>
  <c r="X18" i="47"/>
  <c r="Z18" i="47"/>
  <c r="L18" i="23"/>
  <c r="Z18" i="19"/>
  <c r="Z31" i="47"/>
  <c r="Z27" i="47"/>
  <c r="Z18" i="14"/>
  <c r="H31" i="5"/>
  <c r="N31" i="5" s="1"/>
  <c r="X18" i="19"/>
  <c r="T31" i="49"/>
  <c r="Z31" i="49" s="1"/>
  <c r="Z27" i="5"/>
  <c r="Z18" i="23"/>
  <c r="Z18" i="5"/>
  <c r="P27" i="19"/>
  <c r="X27" i="19" s="1"/>
  <c r="N18" i="16"/>
  <c r="N18" i="49"/>
  <c r="L18" i="7"/>
  <c r="X18" i="11"/>
  <c r="H27" i="95"/>
  <c r="N18" i="95"/>
  <c r="Z18" i="20"/>
  <c r="D27" i="49"/>
  <c r="L18" i="49"/>
  <c r="X18" i="22"/>
  <c r="P27" i="22"/>
  <c r="Z18" i="49"/>
  <c r="H31" i="52"/>
  <c r="N31" i="52" s="1"/>
  <c r="L18" i="5"/>
  <c r="N18" i="52"/>
  <c r="X18" i="32"/>
  <c r="X18" i="5"/>
  <c r="T78" i="78"/>
  <c r="Z16" i="78"/>
  <c r="R72" i="68"/>
  <c r="H59" i="64"/>
  <c r="N22" i="64"/>
  <c r="Z18" i="53"/>
  <c r="T27" i="53"/>
  <c r="H120" i="39"/>
  <c r="D27" i="37"/>
  <c r="L18" i="37"/>
  <c r="T113" i="42"/>
  <c r="T27" i="94"/>
  <c r="Z18" i="94"/>
  <c r="P36" i="93"/>
  <c r="H27" i="94"/>
  <c r="N18" i="94"/>
  <c r="H75" i="92"/>
  <c r="R81" i="91"/>
  <c r="R70" i="91"/>
  <c r="R66" i="91"/>
  <c r="R61" i="91"/>
  <c r="R58" i="91"/>
  <c r="R53" i="91"/>
  <c r="R50" i="91"/>
  <c r="R41" i="91"/>
  <c r="R84" i="91"/>
  <c r="R80" i="91"/>
  <c r="R90" i="91"/>
  <c r="R79" i="91"/>
  <c r="R63" i="91"/>
  <c r="R60" i="91"/>
  <c r="R55" i="91"/>
  <c r="R52" i="91"/>
  <c r="R47" i="91"/>
  <c r="R39" i="91"/>
  <c r="R86" i="91"/>
  <c r="R83" i="91"/>
  <c r="R78" i="91"/>
  <c r="R74" i="91"/>
  <c r="R46" i="91"/>
  <c r="R77" i="91"/>
  <c r="R73" i="91"/>
  <c r="R69" i="91"/>
  <c r="R65" i="91"/>
  <c r="R62" i="91"/>
  <c r="R57" i="91"/>
  <c r="R54" i="91"/>
  <c r="R49" i="91"/>
  <c r="R71" i="91"/>
  <c r="R67" i="91"/>
  <c r="R64" i="91"/>
  <c r="R59" i="91"/>
  <c r="R56" i="91"/>
  <c r="R51" i="91"/>
  <c r="R48" i="91"/>
  <c r="R43" i="91"/>
  <c r="R30" i="91"/>
  <c r="R68" i="91"/>
  <c r="R29" i="91"/>
  <c r="R18" i="91"/>
  <c r="R94" i="91"/>
  <c r="R85" i="91"/>
  <c r="R75" i="91"/>
  <c r="R42" i="91"/>
  <c r="R36" i="91"/>
  <c r="R28" i="91"/>
  <c r="R23" i="91"/>
  <c r="R72" i="91"/>
  <c r="R35" i="91"/>
  <c r="R27" i="91"/>
  <c r="R25" i="91"/>
  <c r="P23" i="91"/>
  <c r="R76" i="91"/>
  <c r="R34" i="91"/>
  <c r="R82" i="91"/>
  <c r="R44" i="91"/>
  <c r="R38" i="91"/>
  <c r="R37" i="91"/>
  <c r="R32" i="91"/>
  <c r="R20" i="91"/>
  <c r="X12" i="91"/>
  <c r="Z12" i="91" s="1"/>
  <c r="R88" i="91"/>
  <c r="R87" i="91"/>
  <c r="R33" i="91"/>
  <c r="R21" i="91"/>
  <c r="R31" i="91"/>
  <c r="R40" i="91"/>
  <c r="R26" i="91"/>
  <c r="R45" i="91"/>
  <c r="R19" i="91"/>
  <c r="P93" i="90"/>
  <c r="X23" i="90"/>
  <c r="Z23" i="90" s="1"/>
  <c r="D36" i="86"/>
  <c r="L18" i="86"/>
  <c r="P88" i="73"/>
  <c r="X21" i="73"/>
  <c r="Z21" i="73" s="1"/>
  <c r="T88" i="73"/>
  <c r="L18" i="53"/>
  <c r="D27" i="53"/>
  <c r="D105" i="62"/>
  <c r="L101" i="62"/>
  <c r="D35" i="55"/>
  <c r="L31" i="55"/>
  <c r="H79" i="51"/>
  <c r="H27" i="47"/>
  <c r="N18" i="47"/>
  <c r="T27" i="43"/>
  <c r="Z18" i="43"/>
  <c r="F72" i="48"/>
  <c r="D27" i="47"/>
  <c r="L18" i="47"/>
  <c r="T120" i="36"/>
  <c r="V25" i="36"/>
  <c r="R69" i="31"/>
  <c r="R52" i="31"/>
  <c r="R49" i="31"/>
  <c r="R40" i="31"/>
  <c r="R28" i="31"/>
  <c r="R23" i="31"/>
  <c r="R64" i="31"/>
  <c r="R55" i="31"/>
  <c r="R39" i="31"/>
  <c r="R35" i="31"/>
  <c r="R27" i="31"/>
  <c r="R25" i="31"/>
  <c r="P23" i="31"/>
  <c r="R54" i="31"/>
  <c r="R51" i="31"/>
  <c r="R46" i="31"/>
  <c r="R38" i="31"/>
  <c r="R34" i="31"/>
  <c r="X12" i="31"/>
  <c r="Z12" i="31" s="1"/>
  <c r="R77" i="31"/>
  <c r="R72" i="31"/>
  <c r="R61" i="31"/>
  <c r="R57" i="31"/>
  <c r="R45" i="31"/>
  <c r="R37" i="31"/>
  <c r="R33" i="31"/>
  <c r="R26" i="31"/>
  <c r="R21" i="31"/>
  <c r="R68" i="31"/>
  <c r="R60" i="31"/>
  <c r="R53" i="31"/>
  <c r="R48" i="31"/>
  <c r="R44" i="31"/>
  <c r="R32" i="31"/>
  <c r="R20" i="31"/>
  <c r="R67" i="31"/>
  <c r="R63" i="31"/>
  <c r="R59" i="31"/>
  <c r="R56" i="31"/>
  <c r="R43" i="31"/>
  <c r="R36" i="31"/>
  <c r="R31" i="31"/>
  <c r="R70" i="31"/>
  <c r="R66" i="31"/>
  <c r="R50" i="31"/>
  <c r="R47" i="31"/>
  <c r="R42" i="31"/>
  <c r="R30" i="31"/>
  <c r="R19" i="31"/>
  <c r="R29" i="31"/>
  <c r="R62" i="31"/>
  <c r="R65" i="31"/>
  <c r="R41" i="31"/>
  <c r="R73" i="31"/>
  <c r="R58" i="31"/>
  <c r="D31" i="22"/>
  <c r="T79" i="31"/>
  <c r="H27" i="19"/>
  <c r="N18" i="19"/>
  <c r="Z27" i="29"/>
  <c r="T31" i="29"/>
  <c r="N18" i="14"/>
  <c r="H27" i="14"/>
  <c r="H93" i="25"/>
  <c r="H97" i="9"/>
  <c r="N16" i="9"/>
  <c r="T31" i="14"/>
  <c r="Z27" i="14"/>
  <c r="D31" i="7"/>
  <c r="L27" i="7"/>
  <c r="H26" i="6"/>
  <c r="N22" i="6"/>
  <c r="P31" i="6"/>
  <c r="F93" i="88"/>
  <c r="F87" i="88"/>
  <c r="F79" i="88"/>
  <c r="F70" i="88"/>
  <c r="F66" i="88"/>
  <c r="F63" i="88"/>
  <c r="F58" i="88"/>
  <c r="F55" i="88"/>
  <c r="F50" i="88"/>
  <c r="F47" i="88"/>
  <c r="F39" i="88"/>
  <c r="F78" i="88"/>
  <c r="F74" i="88"/>
  <c r="F46" i="88"/>
  <c r="F38" i="88"/>
  <c r="F84" i="88"/>
  <c r="F77" i="88"/>
  <c r="F73" i="88"/>
  <c r="F69" i="88"/>
  <c r="F65" i="88"/>
  <c r="F60" i="88"/>
  <c r="F57" i="88"/>
  <c r="F52" i="88"/>
  <c r="F49" i="88"/>
  <c r="F45" i="88"/>
  <c r="F76" i="88"/>
  <c r="F72" i="88"/>
  <c r="F68" i="88"/>
  <c r="F44" i="88"/>
  <c r="F32" i="88"/>
  <c r="F86" i="88"/>
  <c r="F83" i="88"/>
  <c r="F71" i="88"/>
  <c r="F67" i="88"/>
  <c r="F62" i="88"/>
  <c r="F59" i="88"/>
  <c r="F54" i="88"/>
  <c r="F51" i="88"/>
  <c r="F43" i="88"/>
  <c r="F31" i="88"/>
  <c r="F82" i="88"/>
  <c r="F42" i="88"/>
  <c r="F37" i="88"/>
  <c r="F30" i="88"/>
  <c r="F75" i="88"/>
  <c r="F61" i="88"/>
  <c r="F53" i="88"/>
  <c r="F29" i="88"/>
  <c r="F48" i="88"/>
  <c r="F28" i="88"/>
  <c r="F89" i="88"/>
  <c r="F56" i="88"/>
  <c r="F34" i="88"/>
  <c r="F33" i="88"/>
  <c r="F27" i="88"/>
  <c r="F18" i="88"/>
  <c r="D23" i="88"/>
  <c r="F21" i="88"/>
  <c r="F85" i="88"/>
  <c r="F81" i="88"/>
  <c r="F64" i="88"/>
  <c r="F41" i="88"/>
  <c r="F40" i="88"/>
  <c r="F36" i="88"/>
  <c r="F20" i="88"/>
  <c r="L12" i="88"/>
  <c r="N12" i="88" s="1"/>
  <c r="F80" i="88"/>
  <c r="F26" i="88"/>
  <c r="F19" i="88"/>
  <c r="F25" i="88"/>
  <c r="F35" i="88"/>
  <c r="F23" i="88"/>
  <c r="T35" i="80"/>
  <c r="T90" i="63"/>
  <c r="V86" i="63"/>
  <c r="P27" i="52"/>
  <c r="X18" i="52"/>
  <c r="L18" i="94"/>
  <c r="D27" i="94"/>
  <c r="T91" i="88"/>
  <c r="V23" i="88"/>
  <c r="X16" i="87"/>
  <c r="P59" i="87"/>
  <c r="D28" i="85"/>
  <c r="L16" i="85"/>
  <c r="H91" i="88"/>
  <c r="T36" i="86"/>
  <c r="Z18" i="86"/>
  <c r="F90" i="82"/>
  <c r="F78" i="82"/>
  <c r="F70" i="82"/>
  <c r="F53" i="82"/>
  <c r="F50" i="82"/>
  <c r="F42" i="82"/>
  <c r="F30" i="82"/>
  <c r="F84" i="82"/>
  <c r="F77" i="82"/>
  <c r="F93" i="82"/>
  <c r="F87" i="82"/>
  <c r="F52" i="82"/>
  <c r="F47" i="82"/>
  <c r="F40" i="82"/>
  <c r="F28" i="82"/>
  <c r="F89" i="82"/>
  <c r="F86" i="82"/>
  <c r="F82" i="82"/>
  <c r="F69" i="82"/>
  <c r="F54" i="82"/>
  <c r="F49" i="82"/>
  <c r="F46" i="82"/>
  <c r="F38" i="82"/>
  <c r="F34" i="82"/>
  <c r="F23" i="82"/>
  <c r="F80" i="82"/>
  <c r="F63" i="82"/>
  <c r="F56" i="82"/>
  <c r="F37" i="82"/>
  <c r="F27" i="82"/>
  <c r="D23" i="82"/>
  <c r="F88" i="82"/>
  <c r="F73" i="82"/>
  <c r="F61" i="82"/>
  <c r="F41" i="82"/>
  <c r="F39" i="82"/>
  <c r="F35" i="82"/>
  <c r="F29" i="82"/>
  <c r="F62" i="82"/>
  <c r="F59" i="82"/>
  <c r="F36" i="82"/>
  <c r="F26" i="82"/>
  <c r="F92" i="82"/>
  <c r="F68" i="82"/>
  <c r="F65" i="82"/>
  <c r="F21" i="82"/>
  <c r="F20" i="82"/>
  <c r="F79" i="82"/>
  <c r="F71" i="82"/>
  <c r="F66" i="82"/>
  <c r="F55" i="82"/>
  <c r="F51" i="82"/>
  <c r="F48" i="82"/>
  <c r="F33" i="82"/>
  <c r="F32" i="82"/>
  <c r="F25" i="82"/>
  <c r="F18" i="82"/>
  <c r="F85" i="82"/>
  <c r="F76" i="82"/>
  <c r="F43" i="82"/>
  <c r="F31" i="82"/>
  <c r="F67" i="82"/>
  <c r="F58" i="82"/>
  <c r="L12" i="82"/>
  <c r="N12" i="82" s="1"/>
  <c r="F97" i="82"/>
  <c r="F74" i="82"/>
  <c r="F45" i="82"/>
  <c r="F44" i="82"/>
  <c r="F75" i="82"/>
  <c r="F64" i="82"/>
  <c r="F19" i="82"/>
  <c r="F81" i="82"/>
  <c r="F60" i="82"/>
  <c r="F57" i="82"/>
  <c r="F72" i="82"/>
  <c r="F83" i="82"/>
  <c r="H28" i="81"/>
  <c r="N16" i="81"/>
  <c r="H95" i="82"/>
  <c r="R21" i="73"/>
  <c r="T97" i="76"/>
  <c r="V93" i="76"/>
  <c r="D34" i="79"/>
  <c r="D25" i="72"/>
  <c r="L19" i="72"/>
  <c r="N19" i="72" s="1"/>
  <c r="D82" i="78"/>
  <c r="V21" i="73"/>
  <c r="T75" i="68"/>
  <c r="R74" i="69"/>
  <c r="R67" i="69"/>
  <c r="R64" i="69"/>
  <c r="R76" i="69"/>
  <c r="R70" i="69"/>
  <c r="R81" i="69"/>
  <c r="R69" i="69"/>
  <c r="R66" i="69"/>
  <c r="R61" i="69"/>
  <c r="R58" i="69"/>
  <c r="R49" i="69"/>
  <c r="R37" i="69"/>
  <c r="R25" i="69"/>
  <c r="R72" i="69"/>
  <c r="R48" i="69"/>
  <c r="R44" i="69"/>
  <c r="R36" i="69"/>
  <c r="R31" i="69"/>
  <c r="R24" i="69"/>
  <c r="R75" i="69"/>
  <c r="R68" i="69"/>
  <c r="R63" i="69"/>
  <c r="R60" i="69"/>
  <c r="R55" i="69"/>
  <c r="R47" i="69"/>
  <c r="R43" i="69"/>
  <c r="R35" i="69"/>
  <c r="R33" i="69"/>
  <c r="P31" i="69"/>
  <c r="R23" i="69"/>
  <c r="R71" i="69"/>
  <c r="R54" i="69"/>
  <c r="R46" i="69"/>
  <c r="R42" i="69"/>
  <c r="R22" i="69"/>
  <c r="X12" i="69"/>
  <c r="Z12" i="69" s="1"/>
  <c r="R62" i="69"/>
  <c r="R57" i="69"/>
  <c r="R59" i="69"/>
  <c r="R34" i="69"/>
  <c r="R50" i="69"/>
  <c r="R45" i="69"/>
  <c r="R38" i="69"/>
  <c r="R52" i="69"/>
  <c r="R27" i="69"/>
  <c r="R19" i="69"/>
  <c r="R53" i="69"/>
  <c r="R41" i="69"/>
  <c r="R40" i="69"/>
  <c r="R29" i="69"/>
  <c r="R28" i="69"/>
  <c r="R20" i="69"/>
  <c r="R21" i="69"/>
  <c r="R56" i="69"/>
  <c r="R26" i="69"/>
  <c r="R65" i="69"/>
  <c r="R39" i="69"/>
  <c r="R77" i="69"/>
  <c r="R51" i="69"/>
  <c r="D79" i="69"/>
  <c r="L31" i="69"/>
  <c r="P75" i="68"/>
  <c r="X23" i="68"/>
  <c r="Z23" i="68" s="1"/>
  <c r="T93" i="65"/>
  <c r="R53" i="64"/>
  <c r="R46" i="64"/>
  <c r="R49" i="64"/>
  <c r="R61" i="64"/>
  <c r="R55" i="64"/>
  <c r="R52" i="64"/>
  <c r="R28" i="64"/>
  <c r="R19" i="64"/>
  <c r="R48" i="64"/>
  <c r="R44" i="64"/>
  <c r="R41" i="64"/>
  <c r="R36" i="64"/>
  <c r="R33" i="64"/>
  <c r="R45" i="64"/>
  <c r="R42" i="64"/>
  <c r="R34" i="64"/>
  <c r="R30" i="64"/>
  <c r="R29" i="64"/>
  <c r="R40" i="64"/>
  <c r="R39" i="64"/>
  <c r="R27" i="64"/>
  <c r="R26" i="64"/>
  <c r="R25" i="64"/>
  <c r="R22" i="64"/>
  <c r="R18" i="64"/>
  <c r="R51" i="64"/>
  <c r="R38" i="64"/>
  <c r="R57" i="64"/>
  <c r="R43" i="64"/>
  <c r="R35" i="64"/>
  <c r="R24" i="64"/>
  <c r="R47" i="64"/>
  <c r="R32" i="64"/>
  <c r="R31" i="64"/>
  <c r="R54" i="64"/>
  <c r="R37" i="64"/>
  <c r="R20" i="64"/>
  <c r="R50" i="64"/>
  <c r="P22" i="64"/>
  <c r="X12" i="64"/>
  <c r="T58" i="60"/>
  <c r="Z16" i="60"/>
  <c r="X16" i="61"/>
  <c r="P57" i="61"/>
  <c r="H105" i="62"/>
  <c r="N101" i="62"/>
  <c r="H67" i="59"/>
  <c r="N16" i="59"/>
  <c r="X18" i="53"/>
  <c r="P27" i="53"/>
  <c r="F75" i="51"/>
  <c r="F54" i="51"/>
  <c r="F46" i="51"/>
  <c r="F42" i="51"/>
  <c r="F22" i="51"/>
  <c r="L12" i="51"/>
  <c r="N12" i="51" s="1"/>
  <c r="F68" i="51"/>
  <c r="F65" i="51"/>
  <c r="F60" i="51"/>
  <c r="F57" i="51"/>
  <c r="F53" i="51"/>
  <c r="F41" i="51"/>
  <c r="D31" i="51"/>
  <c r="F29" i="51"/>
  <c r="F21" i="51"/>
  <c r="F77" i="51"/>
  <c r="F71" i="51"/>
  <c r="F52" i="51"/>
  <c r="F40" i="51"/>
  <c r="F28" i="51"/>
  <c r="F20" i="51"/>
  <c r="F67" i="51"/>
  <c r="F62" i="51"/>
  <c r="F59" i="51"/>
  <c r="F51" i="51"/>
  <c r="F39" i="51"/>
  <c r="F34" i="51"/>
  <c r="F33" i="51"/>
  <c r="F27" i="51"/>
  <c r="F70" i="51"/>
  <c r="F50" i="51"/>
  <c r="F45" i="51"/>
  <c r="F38" i="51"/>
  <c r="F26" i="51"/>
  <c r="F72" i="51"/>
  <c r="F48" i="51"/>
  <c r="F44" i="51"/>
  <c r="F36" i="51"/>
  <c r="F24" i="51"/>
  <c r="F19" i="51"/>
  <c r="F66" i="51"/>
  <c r="F63" i="51"/>
  <c r="F58" i="51"/>
  <c r="F55" i="51"/>
  <c r="F47" i="51"/>
  <c r="F43" i="51"/>
  <c r="F35" i="51"/>
  <c r="F23" i="51"/>
  <c r="F49" i="51"/>
  <c r="F37" i="51"/>
  <c r="F25" i="51"/>
  <c r="F81" i="51"/>
  <c r="F74" i="51"/>
  <c r="F76" i="51"/>
  <c r="F69" i="51"/>
  <c r="F56" i="51"/>
  <c r="F64" i="51"/>
  <c r="F61" i="51"/>
  <c r="X18" i="50"/>
  <c r="P27" i="50"/>
  <c r="H75" i="48"/>
  <c r="D27" i="43"/>
  <c r="L18" i="43"/>
  <c r="X16" i="57"/>
  <c r="P67" i="57"/>
  <c r="P27" i="43"/>
  <c r="X18" i="43"/>
  <c r="H27" i="44"/>
  <c r="N18" i="44"/>
  <c r="H27" i="43"/>
  <c r="N18" i="43"/>
  <c r="P31" i="41"/>
  <c r="T27" i="44"/>
  <c r="Z18" i="44"/>
  <c r="R113" i="39"/>
  <c r="R101" i="39"/>
  <c r="R97" i="39"/>
  <c r="R89" i="39"/>
  <c r="R86" i="39"/>
  <c r="R81" i="39"/>
  <c r="R73" i="39"/>
  <c r="R70" i="39"/>
  <c r="R65" i="39"/>
  <c r="R53" i="39"/>
  <c r="R50" i="39"/>
  <c r="R45" i="39"/>
  <c r="R33" i="39"/>
  <c r="R118" i="39"/>
  <c r="R100" i="39"/>
  <c r="R96" i="39"/>
  <c r="R77" i="39"/>
  <c r="R64" i="39"/>
  <c r="R61" i="39"/>
  <c r="R44" i="39"/>
  <c r="R32" i="39"/>
  <c r="R110" i="39"/>
  <c r="R103" i="39"/>
  <c r="R95" i="39"/>
  <c r="R88" i="39"/>
  <c r="R80" i="39"/>
  <c r="R72" i="39"/>
  <c r="R67" i="39"/>
  <c r="R112" i="39"/>
  <c r="R106" i="39"/>
  <c r="R99" i="39"/>
  <c r="R94" i="39"/>
  <c r="R63" i="39"/>
  <c r="R58" i="39"/>
  <c r="R105" i="39"/>
  <c r="R102" i="39"/>
  <c r="R93" i="39"/>
  <c r="R85" i="39"/>
  <c r="R69" i="39"/>
  <c r="R66" i="39"/>
  <c r="R57" i="39"/>
  <c r="R54" i="39"/>
  <c r="R49" i="39"/>
  <c r="R41" i="39"/>
  <c r="R37" i="39"/>
  <c r="R29" i="39"/>
  <c r="R27" i="39"/>
  <c r="P25" i="39"/>
  <c r="R111" i="39"/>
  <c r="R104" i="39"/>
  <c r="R91" i="39"/>
  <c r="R87" i="39"/>
  <c r="R83" i="39"/>
  <c r="R79" i="39"/>
  <c r="R75" i="39"/>
  <c r="R71" i="39"/>
  <c r="R68" i="39"/>
  <c r="R56" i="39"/>
  <c r="R51" i="39"/>
  <c r="R47" i="39"/>
  <c r="R35" i="39"/>
  <c r="R28" i="39"/>
  <c r="R107" i="39"/>
  <c r="R98" i="39"/>
  <c r="R90" i="39"/>
  <c r="R82" i="39"/>
  <c r="R78" i="39"/>
  <c r="R74" i="39"/>
  <c r="R62" i="39"/>
  <c r="R59" i="39"/>
  <c r="R46" i="39"/>
  <c r="R39" i="39"/>
  <c r="R34" i="39"/>
  <c r="R92" i="39"/>
  <c r="R84" i="39"/>
  <c r="R60" i="39"/>
  <c r="R22" i="39"/>
  <c r="R55" i="39"/>
  <c r="R48" i="39"/>
  <c r="R36" i="39"/>
  <c r="R21" i="39"/>
  <c r="R108" i="39"/>
  <c r="R76" i="39"/>
  <c r="R52" i="39"/>
  <c r="R20" i="39"/>
  <c r="R43" i="39"/>
  <c r="R42" i="39"/>
  <c r="R114" i="39"/>
  <c r="R30" i="39"/>
  <c r="R31" i="39"/>
  <c r="R25" i="39"/>
  <c r="X12" i="39"/>
  <c r="Z12" i="39" s="1"/>
  <c r="R40" i="39"/>
  <c r="R23" i="39"/>
  <c r="R38" i="39"/>
  <c r="L18" i="38"/>
  <c r="D27" i="38"/>
  <c r="H27" i="33"/>
  <c r="N18" i="33"/>
  <c r="H36" i="37"/>
  <c r="N36" i="37" s="1"/>
  <c r="N31" i="37"/>
  <c r="P36" i="30"/>
  <c r="H27" i="29"/>
  <c r="L27" i="29" s="1"/>
  <c r="N18" i="29"/>
  <c r="D120" i="36"/>
  <c r="L25" i="36"/>
  <c r="F25" i="36"/>
  <c r="H75" i="31"/>
  <c r="Z18" i="33"/>
  <c r="T27" i="33"/>
  <c r="T36" i="32"/>
  <c r="Z36" i="32" s="1"/>
  <c r="Z31" i="32"/>
  <c r="D124" i="28"/>
  <c r="H159" i="18"/>
  <c r="J56" i="18"/>
  <c r="T27" i="11"/>
  <c r="Z18" i="11"/>
  <c r="T151" i="15"/>
  <c r="D31" i="5"/>
  <c r="L27" i="5"/>
  <c r="T27" i="4"/>
  <c r="Z18" i="4"/>
  <c r="N16" i="87"/>
  <c r="H59" i="87"/>
  <c r="L23" i="76"/>
  <c r="D93" i="76"/>
  <c r="T27" i="40"/>
  <c r="Z18" i="40"/>
  <c r="J17" i="92"/>
  <c r="P75" i="92"/>
  <c r="X17" i="92"/>
  <c r="Z17" i="92" s="1"/>
  <c r="R17" i="92"/>
  <c r="F90" i="91"/>
  <c r="F77" i="91"/>
  <c r="F73" i="91"/>
  <c r="F69" i="91"/>
  <c r="F65" i="91"/>
  <c r="F60" i="91"/>
  <c r="F57" i="91"/>
  <c r="F52" i="91"/>
  <c r="F49" i="91"/>
  <c r="F45" i="91"/>
  <c r="F94" i="91"/>
  <c r="F88" i="91"/>
  <c r="F83" i="91"/>
  <c r="F76" i="91"/>
  <c r="F72" i="91"/>
  <c r="F68" i="91"/>
  <c r="F44" i="91"/>
  <c r="F71" i="91"/>
  <c r="F67" i="91"/>
  <c r="F62" i="91"/>
  <c r="F59" i="91"/>
  <c r="F54" i="91"/>
  <c r="F51" i="91"/>
  <c r="F43" i="91"/>
  <c r="F85" i="91"/>
  <c r="F82" i="91"/>
  <c r="F42" i="91"/>
  <c r="F81" i="91"/>
  <c r="F64" i="91"/>
  <c r="F61" i="91"/>
  <c r="F56" i="91"/>
  <c r="F53" i="91"/>
  <c r="F79" i="91"/>
  <c r="F70" i="91"/>
  <c r="F66" i="91"/>
  <c r="F63" i="91"/>
  <c r="F58" i="91"/>
  <c r="F55" i="91"/>
  <c r="F50" i="91"/>
  <c r="F47" i="91"/>
  <c r="F39" i="91"/>
  <c r="F34" i="91"/>
  <c r="F23" i="91"/>
  <c r="F38" i="91"/>
  <c r="F33" i="91"/>
  <c r="D23" i="91"/>
  <c r="F21" i="91"/>
  <c r="F87" i="91"/>
  <c r="F80" i="91"/>
  <c r="F74" i="91"/>
  <c r="F32" i="91"/>
  <c r="F20" i="91"/>
  <c r="L12" i="91"/>
  <c r="N12" i="91" s="1"/>
  <c r="F84" i="91"/>
  <c r="F46" i="91"/>
  <c r="F41" i="91"/>
  <c r="F40" i="91"/>
  <c r="F31" i="91"/>
  <c r="F26" i="91"/>
  <c r="F25" i="91"/>
  <c r="F19" i="91"/>
  <c r="F78" i="91"/>
  <c r="F37" i="91"/>
  <c r="F30" i="91"/>
  <c r="F48" i="91"/>
  <c r="F36" i="91"/>
  <c r="F28" i="91"/>
  <c r="F75" i="91"/>
  <c r="F35" i="91"/>
  <c r="F29" i="91"/>
  <c r="F18" i="91"/>
  <c r="F27" i="91"/>
  <c r="F86" i="91"/>
  <c r="J23" i="82"/>
  <c r="T88" i="83"/>
  <c r="V20" i="83"/>
  <c r="P30" i="79"/>
  <c r="X16" i="79"/>
  <c r="T32" i="81"/>
  <c r="Z28" i="81"/>
  <c r="P30" i="77"/>
  <c r="X26" i="77"/>
  <c r="H75" i="71"/>
  <c r="P78" i="78"/>
  <c r="X16" i="78"/>
  <c r="F74" i="69"/>
  <c r="F73" i="68"/>
  <c r="F52" i="68"/>
  <c r="F62" i="68"/>
  <c r="F58" i="68"/>
  <c r="F55" i="68"/>
  <c r="F69" i="68"/>
  <c r="F54" i="68"/>
  <c r="F77" i="68"/>
  <c r="F64" i="68"/>
  <c r="F67" i="68"/>
  <c r="F49" i="68"/>
  <c r="F46" i="68"/>
  <c r="F38" i="68"/>
  <c r="F34" i="68"/>
  <c r="L12" i="68"/>
  <c r="N12" i="68" s="1"/>
  <c r="F59" i="68"/>
  <c r="F45" i="68"/>
  <c r="F37" i="68"/>
  <c r="F33" i="68"/>
  <c r="D23" i="68"/>
  <c r="F21" i="68"/>
  <c r="F68" i="68"/>
  <c r="F63" i="68"/>
  <c r="F60" i="68"/>
  <c r="F48" i="68"/>
  <c r="F44" i="68"/>
  <c r="F32" i="68"/>
  <c r="F20" i="68"/>
  <c r="F72" i="68"/>
  <c r="F65" i="68"/>
  <c r="F41" i="68"/>
  <c r="F36" i="68"/>
  <c r="F29" i="68"/>
  <c r="F53" i="68"/>
  <c r="F30" i="68"/>
  <c r="F61" i="68"/>
  <c r="F31" i="68"/>
  <c r="F57" i="68"/>
  <c r="F43" i="68"/>
  <c r="F42" i="68"/>
  <c r="F19" i="68"/>
  <c r="F26" i="68"/>
  <c r="F70" i="68"/>
  <c r="F66" i="68"/>
  <c r="F56" i="68"/>
  <c r="F47" i="68"/>
  <c r="F28" i="68"/>
  <c r="F27" i="68"/>
  <c r="F35" i="68"/>
  <c r="F25" i="68"/>
  <c r="F40" i="68"/>
  <c r="F39" i="68"/>
  <c r="F51" i="68"/>
  <c r="F50" i="68"/>
  <c r="V31" i="65"/>
  <c r="P58" i="60"/>
  <c r="X16" i="60"/>
  <c r="D58" i="60"/>
  <c r="L16" i="60"/>
  <c r="N16" i="57"/>
  <c r="H67" i="57"/>
  <c r="F52" i="64"/>
  <c r="F45" i="64"/>
  <c r="F54" i="64"/>
  <c r="F51" i="64"/>
  <c r="F47" i="64"/>
  <c r="F27" i="64"/>
  <c r="F18" i="64"/>
  <c r="F57" i="64"/>
  <c r="F43" i="64"/>
  <c r="F40" i="64"/>
  <c r="F35" i="64"/>
  <c r="F32" i="64"/>
  <c r="D22" i="64"/>
  <c r="F20" i="64"/>
  <c r="L12" i="64"/>
  <c r="F50" i="64"/>
  <c r="F39" i="64"/>
  <c r="F38" i="64"/>
  <c r="F25" i="64"/>
  <c r="F22" i="64"/>
  <c r="F55" i="64"/>
  <c r="F53" i="64"/>
  <c r="F49" i="64"/>
  <c r="F48" i="64"/>
  <c r="F46" i="64"/>
  <c r="F44" i="64"/>
  <c r="F37" i="64"/>
  <c r="F36" i="64"/>
  <c r="F31" i="64"/>
  <c r="F30" i="64"/>
  <c r="F33" i="64"/>
  <c r="F28" i="64"/>
  <c r="F26" i="64"/>
  <c r="F24" i="64"/>
  <c r="F19" i="64"/>
  <c r="F29" i="64"/>
  <c r="F61" i="64"/>
  <c r="F41" i="64"/>
  <c r="F34" i="64"/>
  <c r="F42" i="64"/>
  <c r="J17" i="48"/>
  <c r="L18" i="44"/>
  <c r="D27" i="44"/>
  <c r="L18" i="41"/>
  <c r="D27" i="41"/>
  <c r="H77" i="58"/>
  <c r="N16" i="58"/>
  <c r="D26" i="54"/>
  <c r="L23" i="45"/>
  <c r="N23" i="45" s="1"/>
  <c r="D100" i="45"/>
  <c r="P31" i="47"/>
  <c r="X27" i="47"/>
  <c r="T27" i="37"/>
  <c r="X27" i="37" s="1"/>
  <c r="Z18" i="37"/>
  <c r="F112" i="39"/>
  <c r="F110" i="39"/>
  <c r="F105" i="39"/>
  <c r="F93" i="39"/>
  <c r="F88" i="39"/>
  <c r="F85" i="39"/>
  <c r="F80" i="39"/>
  <c r="F72" i="39"/>
  <c r="F69" i="39"/>
  <c r="F57" i="39"/>
  <c r="F52" i="39"/>
  <c r="F49" i="39"/>
  <c r="F41" i="39"/>
  <c r="F37" i="39"/>
  <c r="F29" i="39"/>
  <c r="F108" i="39"/>
  <c r="F99" i="39"/>
  <c r="F92" i="39"/>
  <c r="F84" i="39"/>
  <c r="F76" i="39"/>
  <c r="F63" i="39"/>
  <c r="F60" i="39"/>
  <c r="F48" i="39"/>
  <c r="F40" i="39"/>
  <c r="F36" i="39"/>
  <c r="F114" i="39"/>
  <c r="F102" i="39"/>
  <c r="F91" i="39"/>
  <c r="F87" i="39"/>
  <c r="F83" i="39"/>
  <c r="F79" i="39"/>
  <c r="F75" i="39"/>
  <c r="F71" i="39"/>
  <c r="F66" i="39"/>
  <c r="F111" i="39"/>
  <c r="F98" i="39"/>
  <c r="F90" i="39"/>
  <c r="F82" i="39"/>
  <c r="F78" i="39"/>
  <c r="F74" i="39"/>
  <c r="F62" i="39"/>
  <c r="F104" i="39"/>
  <c r="F101" i="39"/>
  <c r="F97" i="39"/>
  <c r="F89" i="39"/>
  <c r="F81" i="39"/>
  <c r="F73" i="39"/>
  <c r="F68" i="39"/>
  <c r="F65" i="39"/>
  <c r="F56" i="39"/>
  <c r="F53" i="39"/>
  <c r="F45" i="39"/>
  <c r="F33" i="39"/>
  <c r="F28" i="39"/>
  <c r="F27" i="39"/>
  <c r="F103" i="39"/>
  <c r="F95" i="39"/>
  <c r="F86" i="39"/>
  <c r="F70" i="39"/>
  <c r="F67" i="39"/>
  <c r="F55" i="39"/>
  <c r="F50" i="39"/>
  <c r="F43" i="39"/>
  <c r="F31" i="39"/>
  <c r="F106" i="39"/>
  <c r="F94" i="39"/>
  <c r="F77" i="39"/>
  <c r="F61" i="39"/>
  <c r="F58" i="39"/>
  <c r="F42" i="39"/>
  <c r="F38" i="39"/>
  <c r="F30" i="39"/>
  <c r="F118" i="39"/>
  <c r="F64" i="39"/>
  <c r="F47" i="39"/>
  <c r="F44" i="39"/>
  <c r="F34" i="39"/>
  <c r="F20" i="39"/>
  <c r="F107" i="39"/>
  <c r="F54" i="39"/>
  <c r="F39" i="39"/>
  <c r="F35" i="39"/>
  <c r="F25" i="39"/>
  <c r="L12" i="39"/>
  <c r="N12" i="39" s="1"/>
  <c r="F59" i="39"/>
  <c r="F32" i="39"/>
  <c r="D25" i="39"/>
  <c r="F23" i="39"/>
  <c r="F100" i="39"/>
  <c r="F22" i="39"/>
  <c r="F21" i="39"/>
  <c r="F113" i="39"/>
  <c r="F51" i="39"/>
  <c r="F46" i="39"/>
  <c r="F96" i="39"/>
  <c r="X18" i="38"/>
  <c r="P27" i="38"/>
  <c r="T27" i="46"/>
  <c r="X27" i="46" s="1"/>
  <c r="Z18" i="46"/>
  <c r="P113" i="42"/>
  <c r="X24" i="42"/>
  <c r="Z24" i="42" s="1"/>
  <c r="T27" i="26"/>
  <c r="Z18" i="26"/>
  <c r="N27" i="38"/>
  <c r="H31" i="38"/>
  <c r="X18" i="29"/>
  <c r="P27" i="29"/>
  <c r="H104" i="45"/>
  <c r="H27" i="27"/>
  <c r="L27" i="27" s="1"/>
  <c r="N18" i="27"/>
  <c r="H129" i="34"/>
  <c r="T27" i="24"/>
  <c r="Z18" i="24"/>
  <c r="X18" i="24"/>
  <c r="P27" i="24"/>
  <c r="X18" i="20"/>
  <c r="P27" i="20"/>
  <c r="T31" i="20"/>
  <c r="Z27" i="20"/>
  <c r="T97" i="25"/>
  <c r="V93" i="25"/>
  <c r="L25" i="21"/>
  <c r="D95" i="21"/>
  <c r="F25" i="21"/>
  <c r="T128" i="28"/>
  <c r="H27" i="17"/>
  <c r="N18" i="17"/>
  <c r="L18" i="17"/>
  <c r="L18" i="19"/>
  <c r="H27" i="24"/>
  <c r="N18" i="24"/>
  <c r="T36" i="22"/>
  <c r="Z36" i="22" s="1"/>
  <c r="Z31" i="22"/>
  <c r="V50" i="15"/>
  <c r="R143" i="12"/>
  <c r="R139" i="12"/>
  <c r="R120" i="12"/>
  <c r="R158" i="12"/>
  <c r="R153" i="12"/>
  <c r="R142" i="12"/>
  <c r="R138" i="12"/>
  <c r="R115" i="12"/>
  <c r="R110" i="12"/>
  <c r="R107" i="12"/>
  <c r="R98" i="12"/>
  <c r="R95" i="12"/>
  <c r="R86" i="12"/>
  <c r="R83" i="12"/>
  <c r="R74" i="12"/>
  <c r="R62" i="12"/>
  <c r="R50" i="12"/>
  <c r="R42" i="12"/>
  <c r="R34" i="12"/>
  <c r="R26" i="12"/>
  <c r="X12" i="12"/>
  <c r="Z12" i="12" s="1"/>
  <c r="R155" i="12"/>
  <c r="R149" i="12"/>
  <c r="R145" i="12"/>
  <c r="R137" i="12"/>
  <c r="R129" i="12"/>
  <c r="R101" i="12"/>
  <c r="R89" i="12"/>
  <c r="R73" i="12"/>
  <c r="R69" i="12"/>
  <c r="R61" i="12"/>
  <c r="R49" i="12"/>
  <c r="R41" i="12"/>
  <c r="R33" i="12"/>
  <c r="R148" i="12"/>
  <c r="R141" i="12"/>
  <c r="R136" i="12"/>
  <c r="R132" i="12"/>
  <c r="R128" i="12"/>
  <c r="R124" i="12"/>
  <c r="R112" i="12"/>
  <c r="R109" i="12"/>
  <c r="R104" i="12"/>
  <c r="R100" i="12"/>
  <c r="R97" i="12"/>
  <c r="R92" i="12"/>
  <c r="R88" i="12"/>
  <c r="R85" i="12"/>
  <c r="R80" i="12"/>
  <c r="R72" i="12"/>
  <c r="R68" i="12"/>
  <c r="R60" i="12"/>
  <c r="R58" i="12"/>
  <c r="P56" i="12"/>
  <c r="R56" i="12" s="1"/>
  <c r="R48" i="12"/>
  <c r="R40" i="12"/>
  <c r="R32" i="12"/>
  <c r="R25" i="12"/>
  <c r="R162" i="12"/>
  <c r="R154" i="12"/>
  <c r="R134" i="12"/>
  <c r="R126" i="12"/>
  <c r="R122" i="12"/>
  <c r="R118" i="12"/>
  <c r="R114" i="12"/>
  <c r="R111" i="12"/>
  <c r="R106" i="12"/>
  <c r="R99" i="12"/>
  <c r="R94" i="12"/>
  <c r="R87" i="12"/>
  <c r="R82" i="12"/>
  <c r="R78" i="12"/>
  <c r="R66" i="12"/>
  <c r="R59" i="12"/>
  <c r="R54" i="12"/>
  <c r="R46" i="12"/>
  <c r="R38" i="12"/>
  <c r="R30" i="12"/>
  <c r="R150" i="12"/>
  <c r="R146" i="12"/>
  <c r="R130" i="12"/>
  <c r="R121" i="12"/>
  <c r="R117" i="12"/>
  <c r="R102" i="12"/>
  <c r="R90" i="12"/>
  <c r="R77" i="12"/>
  <c r="R70" i="12"/>
  <c r="R65" i="12"/>
  <c r="R53" i="12"/>
  <c r="R45" i="12"/>
  <c r="R37" i="12"/>
  <c r="R127" i="12"/>
  <c r="R64" i="12"/>
  <c r="R140" i="12"/>
  <c r="R135" i="12"/>
  <c r="R71" i="12"/>
  <c r="R116" i="12"/>
  <c r="R103" i="12"/>
  <c r="R76" i="12"/>
  <c r="R43" i="12"/>
  <c r="R51" i="12"/>
  <c r="R27" i="12"/>
  <c r="R131" i="12"/>
  <c r="R125" i="12"/>
  <c r="R108" i="12"/>
  <c r="R93" i="12"/>
  <c r="R81" i="12"/>
  <c r="R44" i="12"/>
  <c r="R39" i="12"/>
  <c r="R157" i="12"/>
  <c r="R147" i="12"/>
  <c r="R144" i="12"/>
  <c r="R156" i="12"/>
  <c r="R119" i="12"/>
  <c r="R113" i="12"/>
  <c r="R67" i="12"/>
  <c r="R105" i="12"/>
  <c r="R52" i="12"/>
  <c r="R47" i="12"/>
  <c r="R28" i="12"/>
  <c r="R151" i="12"/>
  <c r="R133" i="12"/>
  <c r="R123" i="12"/>
  <c r="R63" i="12"/>
  <c r="R35" i="12"/>
  <c r="R29" i="12"/>
  <c r="R96" i="12"/>
  <c r="R91" i="12"/>
  <c r="R84" i="12"/>
  <c r="R79" i="12"/>
  <c r="R75" i="12"/>
  <c r="R36" i="12"/>
  <c r="R31" i="12"/>
  <c r="P27" i="10"/>
  <c r="X18" i="10"/>
  <c r="T27" i="8"/>
  <c r="Z18" i="8"/>
  <c r="L18" i="4"/>
  <c r="D27" i="4"/>
  <c r="D104" i="9"/>
  <c r="D27" i="24"/>
  <c r="L18" i="24"/>
  <c r="R117" i="28"/>
  <c r="R89" i="28"/>
  <c r="R86" i="28"/>
  <c r="R81" i="28"/>
  <c r="R77" i="28"/>
  <c r="R74" i="28"/>
  <c r="R69" i="28"/>
  <c r="R66" i="28"/>
  <c r="R57" i="28"/>
  <c r="R45" i="28"/>
  <c r="R40" i="28"/>
  <c r="R33" i="28"/>
  <c r="R25" i="28"/>
  <c r="R120" i="28"/>
  <c r="R113" i="28"/>
  <c r="R108" i="28"/>
  <c r="R96" i="28"/>
  <c r="R92" i="28"/>
  <c r="R80" i="28"/>
  <c r="R56" i="28"/>
  <c r="R52" i="28"/>
  <c r="R44" i="28"/>
  <c r="R42" i="28"/>
  <c r="P40" i="28"/>
  <c r="R32" i="28"/>
  <c r="R24" i="28"/>
  <c r="R116" i="28"/>
  <c r="R107" i="28"/>
  <c r="R99" i="28"/>
  <c r="R95" i="28"/>
  <c r="R91" i="28"/>
  <c r="R88" i="28"/>
  <c r="R83" i="28"/>
  <c r="R76" i="28"/>
  <c r="R71" i="28"/>
  <c r="R68" i="28"/>
  <c r="R63" i="28"/>
  <c r="R55" i="28"/>
  <c r="R51" i="28"/>
  <c r="R31" i="28"/>
  <c r="R23" i="28"/>
  <c r="R122" i="28"/>
  <c r="R110" i="28"/>
  <c r="R106" i="28"/>
  <c r="R102" i="28"/>
  <c r="R98" i="28"/>
  <c r="R94" i="28"/>
  <c r="R79" i="28"/>
  <c r="R62" i="28"/>
  <c r="R54" i="28"/>
  <c r="R50" i="28"/>
  <c r="R43" i="28"/>
  <c r="R38" i="28"/>
  <c r="R30" i="28"/>
  <c r="R22" i="28"/>
  <c r="X12" i="28"/>
  <c r="Z12" i="28" s="1"/>
  <c r="R105" i="28"/>
  <c r="R101" i="28"/>
  <c r="R90" i="28"/>
  <c r="R85" i="28"/>
  <c r="R82" i="28"/>
  <c r="R73" i="28"/>
  <c r="R70" i="28"/>
  <c r="R65" i="28"/>
  <c r="R61" i="28"/>
  <c r="R49" i="28"/>
  <c r="R37" i="28"/>
  <c r="R29" i="28"/>
  <c r="R21" i="28"/>
  <c r="R119" i="28"/>
  <c r="R112" i="28"/>
  <c r="R109" i="28"/>
  <c r="R104" i="28"/>
  <c r="R97" i="28"/>
  <c r="R93" i="28"/>
  <c r="R60" i="28"/>
  <c r="R53" i="28"/>
  <c r="R48" i="28"/>
  <c r="R36" i="28"/>
  <c r="R28" i="28"/>
  <c r="R20" i="28"/>
  <c r="R121" i="28"/>
  <c r="R115" i="28"/>
  <c r="R100" i="28"/>
  <c r="R87" i="28"/>
  <c r="R84" i="28"/>
  <c r="R75" i="28"/>
  <c r="R72" i="28"/>
  <c r="R67" i="28"/>
  <c r="R64" i="28"/>
  <c r="R59" i="28"/>
  <c r="R47" i="28"/>
  <c r="R35" i="28"/>
  <c r="R27" i="28"/>
  <c r="R46" i="28"/>
  <c r="R26" i="28"/>
  <c r="R103" i="28"/>
  <c r="R19" i="28"/>
  <c r="R126" i="28"/>
  <c r="R34" i="28"/>
  <c r="R78" i="28"/>
  <c r="R111" i="28"/>
  <c r="R114" i="28"/>
  <c r="R58" i="28"/>
  <c r="D31" i="29"/>
  <c r="F85" i="25"/>
  <c r="F65" i="25"/>
  <c r="F60" i="25"/>
  <c r="F57" i="25"/>
  <c r="F53" i="25"/>
  <c r="F91" i="25"/>
  <c r="F75" i="25"/>
  <c r="F71" i="25"/>
  <c r="F68" i="25"/>
  <c r="F52" i="25"/>
  <c r="F88" i="25"/>
  <c r="F78" i="25"/>
  <c r="F81" i="25"/>
  <c r="F74" i="25"/>
  <c r="F70" i="25"/>
  <c r="F95" i="25"/>
  <c r="F90" i="25"/>
  <c r="F84" i="25"/>
  <c r="F77" i="25"/>
  <c r="F73" i="25"/>
  <c r="F64" i="25"/>
  <c r="F61" i="25"/>
  <c r="F56" i="25"/>
  <c r="F49" i="25"/>
  <c r="F80" i="25"/>
  <c r="F76" i="25"/>
  <c r="F72" i="25"/>
  <c r="F67" i="25"/>
  <c r="F83" i="25"/>
  <c r="F79" i="25"/>
  <c r="F63" i="25"/>
  <c r="F58" i="25"/>
  <c r="F55" i="25"/>
  <c r="F69" i="25"/>
  <c r="F37" i="25"/>
  <c r="F25" i="25"/>
  <c r="F82" i="25"/>
  <c r="F48" i="25"/>
  <c r="F44" i="25"/>
  <c r="F36" i="25"/>
  <c r="F24" i="25"/>
  <c r="F19" i="25"/>
  <c r="F50" i="25"/>
  <c r="F47" i="25"/>
  <c r="F43" i="25"/>
  <c r="F35" i="25"/>
  <c r="F23" i="25"/>
  <c r="F87" i="25"/>
  <c r="F66" i="25"/>
  <c r="F62" i="25"/>
  <c r="F54" i="25"/>
  <c r="F51" i="25"/>
  <c r="F46" i="25"/>
  <c r="F42" i="25"/>
  <c r="F31" i="25"/>
  <c r="F22" i="25"/>
  <c r="L12" i="25"/>
  <c r="N12" i="25" s="1"/>
  <c r="F59" i="25"/>
  <c r="F40" i="25"/>
  <c r="F28" i="25"/>
  <c r="F20" i="25"/>
  <c r="F89" i="25"/>
  <c r="F39" i="25"/>
  <c r="F34" i="25"/>
  <c r="F33" i="25"/>
  <c r="F27" i="25"/>
  <c r="F45" i="25"/>
  <c r="F38" i="25"/>
  <c r="F26" i="25"/>
  <c r="F29" i="25"/>
  <c r="F21" i="25"/>
  <c r="D31" i="25"/>
  <c r="F41" i="25"/>
  <c r="T95" i="21"/>
  <c r="V25" i="21"/>
  <c r="T27" i="16"/>
  <c r="Z18" i="16"/>
  <c r="D31" i="23"/>
  <c r="F151" i="18"/>
  <c r="F141" i="18"/>
  <c r="F114" i="18"/>
  <c r="F109" i="18"/>
  <c r="F106" i="18"/>
  <c r="F97" i="18"/>
  <c r="F94" i="18"/>
  <c r="F85" i="18"/>
  <c r="F82" i="18"/>
  <c r="F78" i="18"/>
  <c r="F66" i="18"/>
  <c r="D56" i="18"/>
  <c r="F54" i="18"/>
  <c r="F46" i="18"/>
  <c r="F38" i="18"/>
  <c r="F30" i="18"/>
  <c r="F22" i="18"/>
  <c r="F161" i="18"/>
  <c r="F156" i="18"/>
  <c r="F137" i="18"/>
  <c r="F77" i="18"/>
  <c r="F65" i="18"/>
  <c r="F53" i="18"/>
  <c r="F45" i="18"/>
  <c r="F37" i="18"/>
  <c r="F153" i="18"/>
  <c r="F147" i="18"/>
  <c r="F143" i="18"/>
  <c r="F140" i="18"/>
  <c r="F136" i="18"/>
  <c r="F127" i="18"/>
  <c r="F123" i="18"/>
  <c r="F111" i="18"/>
  <c r="F108" i="18"/>
  <c r="F99" i="18"/>
  <c r="F96" i="18"/>
  <c r="F87" i="18"/>
  <c r="F84" i="18"/>
  <c r="F76" i="18"/>
  <c r="F64" i="18"/>
  <c r="F59" i="18"/>
  <c r="F58" i="18"/>
  <c r="F52" i="18"/>
  <c r="F44" i="18"/>
  <c r="F36" i="18"/>
  <c r="F28" i="18"/>
  <c r="F139" i="18"/>
  <c r="F135" i="18"/>
  <c r="F130" i="18"/>
  <c r="F118" i="18"/>
  <c r="F102" i="18"/>
  <c r="F90" i="18"/>
  <c r="F75" i="18"/>
  <c r="F70" i="18"/>
  <c r="F63" i="18"/>
  <c r="F51" i="18"/>
  <c r="F43" i="18"/>
  <c r="F35" i="18"/>
  <c r="F27" i="18"/>
  <c r="F152" i="18"/>
  <c r="F150" i="18"/>
  <c r="F145" i="18"/>
  <c r="F133" i="18"/>
  <c r="F129" i="18"/>
  <c r="F125" i="18"/>
  <c r="F121" i="18"/>
  <c r="F117" i="18"/>
  <c r="F101" i="18"/>
  <c r="F89" i="18"/>
  <c r="F73" i="18"/>
  <c r="F69" i="18"/>
  <c r="F157" i="18"/>
  <c r="F148" i="18"/>
  <c r="F144" i="18"/>
  <c r="F132" i="18"/>
  <c r="F128" i="18"/>
  <c r="F124" i="18"/>
  <c r="F120" i="18"/>
  <c r="F116" i="18"/>
  <c r="F112" i="18"/>
  <c r="F107" i="18"/>
  <c r="F104" i="18"/>
  <c r="F100" i="18"/>
  <c r="F95" i="18"/>
  <c r="F92" i="18"/>
  <c r="F88" i="18"/>
  <c r="F83" i="18"/>
  <c r="F80" i="18"/>
  <c r="F72" i="18"/>
  <c r="F68" i="18"/>
  <c r="F60" i="18"/>
  <c r="F48" i="18"/>
  <c r="F40" i="18"/>
  <c r="F32" i="18"/>
  <c r="F24" i="18"/>
  <c r="F154" i="18"/>
  <c r="F138" i="18"/>
  <c r="F131" i="18"/>
  <c r="F119" i="18"/>
  <c r="F115" i="18"/>
  <c r="F103" i="18"/>
  <c r="F91" i="18"/>
  <c r="F79" i="18"/>
  <c r="F71" i="18"/>
  <c r="F67" i="18"/>
  <c r="F56" i="18"/>
  <c r="F47" i="18"/>
  <c r="F39" i="18"/>
  <c r="F31" i="18"/>
  <c r="F23" i="18"/>
  <c r="F146" i="18"/>
  <c r="F113" i="18"/>
  <c r="F105" i="18"/>
  <c r="F86" i="18"/>
  <c r="L12" i="18"/>
  <c r="N12" i="18" s="1"/>
  <c r="F126" i="18"/>
  <c r="F110" i="18"/>
  <c r="F93" i="18"/>
  <c r="F98" i="18"/>
  <c r="F49" i="18"/>
  <c r="F41" i="18"/>
  <c r="F33" i="18"/>
  <c r="F74" i="18"/>
  <c r="F50" i="18"/>
  <c r="F42" i="18"/>
  <c r="F34" i="18"/>
  <c r="F29" i="18"/>
  <c r="F142" i="18"/>
  <c r="F134" i="18"/>
  <c r="F122" i="18"/>
  <c r="F61" i="18"/>
  <c r="F26" i="18"/>
  <c r="F25" i="18"/>
  <c r="F21" i="18"/>
  <c r="F62" i="18"/>
  <c r="F155" i="18"/>
  <c r="F81" i="18"/>
  <c r="L18" i="11"/>
  <c r="D27" i="11"/>
  <c r="H27" i="4"/>
  <c r="N18" i="4"/>
  <c r="L18" i="8"/>
  <c r="D27" i="8"/>
  <c r="T176" i="3"/>
  <c r="D24" i="89"/>
  <c r="L16" i="89"/>
  <c r="R90" i="65"/>
  <c r="R85" i="65"/>
  <c r="R78" i="65"/>
  <c r="R65" i="65"/>
  <c r="R62" i="65"/>
  <c r="R57" i="65"/>
  <c r="R53" i="65"/>
  <c r="R41" i="65"/>
  <c r="R34" i="65"/>
  <c r="R29" i="65"/>
  <c r="R88" i="65"/>
  <c r="R81" i="65"/>
  <c r="R68" i="65"/>
  <c r="R52" i="65"/>
  <c r="R45" i="65"/>
  <c r="R40" i="65"/>
  <c r="R28" i="65"/>
  <c r="R20" i="65"/>
  <c r="R95" i="65"/>
  <c r="R91" i="65"/>
  <c r="R84" i="65"/>
  <c r="R64" i="65"/>
  <c r="R59" i="65"/>
  <c r="R56" i="65"/>
  <c r="R51" i="65"/>
  <c r="R39" i="65"/>
  <c r="R27" i="65"/>
  <c r="R74" i="65"/>
  <c r="R70" i="65"/>
  <c r="R67" i="65"/>
  <c r="R50" i="65"/>
  <c r="R38" i="65"/>
  <c r="R26" i="65"/>
  <c r="R19" i="65"/>
  <c r="R77" i="65"/>
  <c r="R73" i="65"/>
  <c r="R61" i="65"/>
  <c r="R58" i="65"/>
  <c r="R49" i="65"/>
  <c r="R37" i="65"/>
  <c r="R89" i="65"/>
  <c r="R83" i="65"/>
  <c r="R79" i="65"/>
  <c r="R63" i="65"/>
  <c r="R60" i="65"/>
  <c r="R55" i="65"/>
  <c r="R47" i="65"/>
  <c r="R43" i="65"/>
  <c r="R35" i="65"/>
  <c r="R33" i="65"/>
  <c r="P31" i="65"/>
  <c r="R23" i="65"/>
  <c r="R82" i="65"/>
  <c r="R75" i="65"/>
  <c r="R71" i="65"/>
  <c r="R66" i="65"/>
  <c r="R54" i="65"/>
  <c r="R46" i="65"/>
  <c r="R42" i="65"/>
  <c r="R72" i="65"/>
  <c r="R69" i="65"/>
  <c r="R44" i="65"/>
  <c r="R87" i="65"/>
  <c r="R80" i="65"/>
  <c r="R48" i="65"/>
  <c r="R31" i="65"/>
  <c r="R21" i="65"/>
  <c r="R36" i="65"/>
  <c r="R25" i="65"/>
  <c r="R24" i="65"/>
  <c r="R22" i="65"/>
  <c r="R76" i="65"/>
  <c r="X12" i="65"/>
  <c r="Z12" i="65" s="1"/>
  <c r="X16" i="58"/>
  <c r="P77" i="58"/>
  <c r="X18" i="94"/>
  <c r="P27" i="94"/>
  <c r="T27" i="93"/>
  <c r="Z18" i="93"/>
  <c r="D75" i="92"/>
  <c r="L17" i="92"/>
  <c r="N17" i="92" s="1"/>
  <c r="P28" i="85"/>
  <c r="X16" i="85"/>
  <c r="F18" i="86"/>
  <c r="D28" i="81"/>
  <c r="L16" i="81"/>
  <c r="X32" i="81"/>
  <c r="P35" i="81"/>
  <c r="H29" i="72"/>
  <c r="J25" i="72"/>
  <c r="R114" i="67"/>
  <c r="R95" i="67"/>
  <c r="R82" i="67"/>
  <c r="R79" i="67"/>
  <c r="R62" i="67"/>
  <c r="R54" i="67"/>
  <c r="R50" i="67"/>
  <c r="R43" i="67"/>
  <c r="R105" i="67"/>
  <c r="R102" i="67"/>
  <c r="R73" i="67"/>
  <c r="R70" i="67"/>
  <c r="R65" i="67"/>
  <c r="R61" i="67"/>
  <c r="R49" i="67"/>
  <c r="R37" i="67"/>
  <c r="R29" i="67"/>
  <c r="R21" i="67"/>
  <c r="R108" i="67"/>
  <c r="R84" i="67"/>
  <c r="R81" i="67"/>
  <c r="R60" i="67"/>
  <c r="R53" i="67"/>
  <c r="R48" i="67"/>
  <c r="R36" i="67"/>
  <c r="R28" i="67"/>
  <c r="R20" i="67"/>
  <c r="R101" i="67"/>
  <c r="R97" i="67"/>
  <c r="R93" i="67"/>
  <c r="R89" i="67"/>
  <c r="R77" i="67"/>
  <c r="R74" i="67"/>
  <c r="R98" i="67"/>
  <c r="R86" i="67"/>
  <c r="R85" i="67"/>
  <c r="R78" i="67"/>
  <c r="R44" i="67"/>
  <c r="R107" i="67"/>
  <c r="R45" i="67"/>
  <c r="R92" i="67"/>
  <c r="R91" i="67"/>
  <c r="R90" i="67"/>
  <c r="R69" i="67"/>
  <c r="R68" i="67"/>
  <c r="R55" i="67"/>
  <c r="R47" i="67"/>
  <c r="R46" i="67"/>
  <c r="R42" i="67"/>
  <c r="R35" i="67"/>
  <c r="R27" i="67"/>
  <c r="R19" i="67"/>
  <c r="R72" i="67"/>
  <c r="R67" i="67"/>
  <c r="R66" i="67"/>
  <c r="R64" i="67"/>
  <c r="R56" i="67"/>
  <c r="R38" i="67"/>
  <c r="R34" i="67"/>
  <c r="R31" i="67"/>
  <c r="R30" i="67"/>
  <c r="R26" i="67"/>
  <c r="R23" i="67"/>
  <c r="R22" i="67"/>
  <c r="X12" i="67"/>
  <c r="Z12" i="67" s="1"/>
  <c r="R59" i="67"/>
  <c r="R57" i="67"/>
  <c r="R51" i="67"/>
  <c r="P40" i="67"/>
  <c r="R40" i="67" s="1"/>
  <c r="R33" i="67"/>
  <c r="R32" i="67"/>
  <c r="R25" i="67"/>
  <c r="R24" i="67"/>
  <c r="R110" i="67"/>
  <c r="R94" i="67"/>
  <c r="R71" i="67"/>
  <c r="R63" i="67"/>
  <c r="R109" i="67"/>
  <c r="R103" i="67"/>
  <c r="R100" i="67"/>
  <c r="R99" i="67"/>
  <c r="R88" i="67"/>
  <c r="R87" i="67"/>
  <c r="R80" i="67"/>
  <c r="R76" i="67"/>
  <c r="R96" i="67"/>
  <c r="R52" i="67"/>
  <c r="R104" i="67"/>
  <c r="R75" i="67"/>
  <c r="R58" i="67"/>
  <c r="R83" i="67"/>
  <c r="H112" i="67"/>
  <c r="H79" i="68"/>
  <c r="J75" i="68"/>
  <c r="H93" i="65"/>
  <c r="P101" i="62"/>
  <c r="X17" i="62"/>
  <c r="R84" i="63"/>
  <c r="R88" i="63"/>
  <c r="R82" i="63"/>
  <c r="R81" i="63"/>
  <c r="R70" i="63"/>
  <c r="R58" i="63"/>
  <c r="R55" i="63"/>
  <c r="R46" i="63"/>
  <c r="R34" i="63"/>
  <c r="R32" i="63"/>
  <c r="P30" i="63"/>
  <c r="R22" i="63"/>
  <c r="R73" i="63"/>
  <c r="R69" i="63"/>
  <c r="R66" i="63"/>
  <c r="R61" i="63"/>
  <c r="R45" i="63"/>
  <c r="R41" i="63"/>
  <c r="R80" i="63"/>
  <c r="R72" i="63"/>
  <c r="R60" i="63"/>
  <c r="R57" i="63"/>
  <c r="R52" i="63"/>
  <c r="R44" i="63"/>
  <c r="R79" i="63"/>
  <c r="R75" i="63"/>
  <c r="R68" i="63"/>
  <c r="R63" i="63"/>
  <c r="R51" i="63"/>
  <c r="R43" i="63"/>
  <c r="R39" i="63"/>
  <c r="R27" i="63"/>
  <c r="R19" i="63"/>
  <c r="R56" i="63"/>
  <c r="R53" i="63"/>
  <c r="R48" i="63"/>
  <c r="R36" i="63"/>
  <c r="R24" i="63"/>
  <c r="R76" i="63"/>
  <c r="R67" i="63"/>
  <c r="R64" i="63"/>
  <c r="R47" i="63"/>
  <c r="R35" i="63"/>
  <c r="R30" i="63"/>
  <c r="R23" i="63"/>
  <c r="R77" i="63"/>
  <c r="R28" i="63"/>
  <c r="R78" i="63"/>
  <c r="R71" i="63"/>
  <c r="R42" i="63"/>
  <c r="R40" i="63"/>
  <c r="R18" i="63"/>
  <c r="R74" i="63"/>
  <c r="R65" i="63"/>
  <c r="R21" i="63"/>
  <c r="R20" i="63"/>
  <c r="R62" i="63"/>
  <c r="R54" i="63"/>
  <c r="R49" i="63"/>
  <c r="R37" i="63"/>
  <c r="R33" i="63"/>
  <c r="R26" i="63"/>
  <c r="R50" i="63"/>
  <c r="R38" i="63"/>
  <c r="X12" i="63"/>
  <c r="Z12" i="63" s="1"/>
  <c r="R25" i="63"/>
  <c r="R59" i="63"/>
  <c r="H86" i="63"/>
  <c r="P75" i="56"/>
  <c r="X16" i="56"/>
  <c r="D71" i="57"/>
  <c r="L67" i="57"/>
  <c r="P75" i="48"/>
  <c r="X17" i="48"/>
  <c r="Z17" i="48" s="1"/>
  <c r="D27" i="40"/>
  <c r="L18" i="40"/>
  <c r="P22" i="54"/>
  <c r="X16" i="54"/>
  <c r="P31" i="46"/>
  <c r="H113" i="42"/>
  <c r="J24" i="42"/>
  <c r="P31" i="37"/>
  <c r="L18" i="33"/>
  <c r="D27" i="33"/>
  <c r="T27" i="30"/>
  <c r="Z18" i="30"/>
  <c r="R152" i="18"/>
  <c r="R146" i="18"/>
  <c r="R142" i="18"/>
  <c r="R134" i="18"/>
  <c r="R126" i="18"/>
  <c r="R122" i="18"/>
  <c r="R110" i="18"/>
  <c r="R107" i="18"/>
  <c r="R98" i="18"/>
  <c r="R95" i="18"/>
  <c r="R86" i="18"/>
  <c r="R83" i="18"/>
  <c r="R74" i="18"/>
  <c r="R62" i="18"/>
  <c r="R50" i="18"/>
  <c r="R42" i="18"/>
  <c r="R34" i="18"/>
  <c r="R26" i="18"/>
  <c r="X12" i="18"/>
  <c r="Z12" i="18" s="1"/>
  <c r="R157" i="18"/>
  <c r="R145" i="18"/>
  <c r="R138" i="18"/>
  <c r="R133" i="18"/>
  <c r="R129" i="18"/>
  <c r="R125" i="18"/>
  <c r="R121" i="18"/>
  <c r="R117" i="18"/>
  <c r="R101" i="18"/>
  <c r="R89" i="18"/>
  <c r="R73" i="18"/>
  <c r="R69" i="18"/>
  <c r="R61" i="18"/>
  <c r="R49" i="18"/>
  <c r="R41" i="18"/>
  <c r="R33" i="18"/>
  <c r="R154" i="18"/>
  <c r="R148" i="18"/>
  <c r="R144" i="18"/>
  <c r="R141" i="18"/>
  <c r="R132" i="18"/>
  <c r="R128" i="18"/>
  <c r="R124" i="18"/>
  <c r="R120" i="18"/>
  <c r="R116" i="18"/>
  <c r="R112" i="18"/>
  <c r="R109" i="18"/>
  <c r="R104" i="18"/>
  <c r="R100" i="18"/>
  <c r="R97" i="18"/>
  <c r="R92" i="18"/>
  <c r="R88" i="18"/>
  <c r="R85" i="18"/>
  <c r="R80" i="18"/>
  <c r="R72" i="18"/>
  <c r="R68" i="18"/>
  <c r="R60" i="18"/>
  <c r="R58" i="18"/>
  <c r="P56" i="18"/>
  <c r="R48" i="18"/>
  <c r="R40" i="18"/>
  <c r="R32" i="18"/>
  <c r="R24" i="18"/>
  <c r="R151" i="18"/>
  <c r="R131" i="18"/>
  <c r="R119" i="18"/>
  <c r="R115" i="18"/>
  <c r="R103" i="18"/>
  <c r="R91" i="18"/>
  <c r="R79" i="18"/>
  <c r="R71" i="18"/>
  <c r="R67" i="18"/>
  <c r="R47" i="18"/>
  <c r="R39" i="18"/>
  <c r="R31" i="18"/>
  <c r="R23" i="18"/>
  <c r="R161" i="18"/>
  <c r="R153" i="18"/>
  <c r="R137" i="18"/>
  <c r="R130" i="18"/>
  <c r="R118" i="18"/>
  <c r="R102" i="18"/>
  <c r="R90" i="18"/>
  <c r="R77" i="18"/>
  <c r="R70" i="18"/>
  <c r="R140" i="18"/>
  <c r="R136" i="18"/>
  <c r="R113" i="18"/>
  <c r="R108" i="18"/>
  <c r="R105" i="18"/>
  <c r="R96" i="18"/>
  <c r="R93" i="18"/>
  <c r="R84" i="18"/>
  <c r="R81" i="18"/>
  <c r="R76" i="18"/>
  <c r="R64" i="18"/>
  <c r="R52" i="18"/>
  <c r="R44" i="18"/>
  <c r="R36" i="18"/>
  <c r="R28" i="18"/>
  <c r="R21" i="18"/>
  <c r="R155" i="18"/>
  <c r="R150" i="18"/>
  <c r="R139" i="18"/>
  <c r="R135" i="18"/>
  <c r="R75" i="18"/>
  <c r="R63" i="18"/>
  <c r="R51" i="18"/>
  <c r="R43" i="18"/>
  <c r="R35" i="18"/>
  <c r="R27" i="18"/>
  <c r="R127" i="18"/>
  <c r="R114" i="18"/>
  <c r="R111" i="18"/>
  <c r="R106" i="18"/>
  <c r="R53" i="18"/>
  <c r="R45" i="18"/>
  <c r="R37" i="18"/>
  <c r="R29" i="18"/>
  <c r="R99" i="18"/>
  <c r="R94" i="18"/>
  <c r="R54" i="18"/>
  <c r="R46" i="18"/>
  <c r="R38" i="18"/>
  <c r="R30" i="18"/>
  <c r="R25" i="18"/>
  <c r="R143" i="18"/>
  <c r="R123" i="18"/>
  <c r="R156" i="18"/>
  <c r="R59" i="18"/>
  <c r="R22" i="18"/>
  <c r="R78" i="18"/>
  <c r="R65" i="18"/>
  <c r="R82" i="18"/>
  <c r="R87" i="18"/>
  <c r="R147" i="18"/>
  <c r="R66" i="18"/>
  <c r="P129" i="34"/>
  <c r="X42" i="34"/>
  <c r="R124" i="34"/>
  <c r="L18" i="29"/>
  <c r="D31" i="27"/>
  <c r="L18" i="16"/>
  <c r="D27" i="16"/>
  <c r="R84" i="21"/>
  <c r="R72" i="21"/>
  <c r="R68" i="21"/>
  <c r="R65" i="21"/>
  <c r="R60" i="21"/>
  <c r="R48" i="21"/>
  <c r="R40" i="21"/>
  <c r="R36" i="21"/>
  <c r="X12" i="21"/>
  <c r="Z12" i="21" s="1"/>
  <c r="R87" i="21"/>
  <c r="R83" i="21"/>
  <c r="R71" i="21"/>
  <c r="R56" i="21"/>
  <c r="R51" i="21"/>
  <c r="R47" i="21"/>
  <c r="R35" i="21"/>
  <c r="R28" i="21"/>
  <c r="R23" i="21"/>
  <c r="R93" i="21"/>
  <c r="R86" i="21"/>
  <c r="R82" i="21"/>
  <c r="R78" i="21"/>
  <c r="R74" i="21"/>
  <c r="R70" i="21"/>
  <c r="R67" i="21"/>
  <c r="R62" i="21"/>
  <c r="R59" i="21"/>
  <c r="R46" i="21"/>
  <c r="R39" i="21"/>
  <c r="R34" i="21"/>
  <c r="R22" i="21"/>
  <c r="R89" i="21"/>
  <c r="R81" i="21"/>
  <c r="R77" i="21"/>
  <c r="R53" i="21"/>
  <c r="R50" i="21"/>
  <c r="R45" i="21"/>
  <c r="R33" i="21"/>
  <c r="R21" i="21"/>
  <c r="R97" i="21"/>
  <c r="R91" i="21"/>
  <c r="R88" i="21"/>
  <c r="R55" i="21"/>
  <c r="R52" i="21"/>
  <c r="R43" i="21"/>
  <c r="R31" i="21"/>
  <c r="R20" i="21"/>
  <c r="R79" i="21"/>
  <c r="R75" i="21"/>
  <c r="R66" i="21"/>
  <c r="R63" i="21"/>
  <c r="R58" i="21"/>
  <c r="R42" i="21"/>
  <c r="R38" i="21"/>
  <c r="R30" i="21"/>
  <c r="R90" i="21"/>
  <c r="R57" i="21"/>
  <c r="R54" i="21"/>
  <c r="R49" i="21"/>
  <c r="R41" i="21"/>
  <c r="R37" i="21"/>
  <c r="R29" i="21"/>
  <c r="R27" i="21"/>
  <c r="P25" i="21"/>
  <c r="R25" i="21" s="1"/>
  <c r="R85" i="21"/>
  <c r="R44" i="21"/>
  <c r="R76" i="21"/>
  <c r="R73" i="21"/>
  <c r="R80" i="21"/>
  <c r="R32" i="21"/>
  <c r="R69" i="21"/>
  <c r="R64" i="21"/>
  <c r="R61" i="21"/>
  <c r="T27" i="13"/>
  <c r="Z18" i="13"/>
  <c r="T27" i="10"/>
  <c r="Z18" i="10"/>
  <c r="L18" i="13"/>
  <c r="D27" i="13"/>
  <c r="D31" i="14"/>
  <c r="L27" i="14"/>
  <c r="N27" i="16"/>
  <c r="H31" i="16"/>
  <c r="P27" i="4"/>
  <c r="X18" i="4"/>
  <c r="R88" i="76"/>
  <c r="R85" i="76"/>
  <c r="R80" i="76"/>
  <c r="R65" i="76"/>
  <c r="R53" i="76"/>
  <c r="R48" i="76"/>
  <c r="R44" i="76"/>
  <c r="R32" i="76"/>
  <c r="R20" i="76"/>
  <c r="X12" i="76"/>
  <c r="Z12" i="76" s="1"/>
  <c r="R91" i="76"/>
  <c r="R79" i="76"/>
  <c r="R72" i="76"/>
  <c r="R59" i="76"/>
  <c r="R56" i="76"/>
  <c r="R43" i="76"/>
  <c r="R36" i="76"/>
  <c r="R31" i="76"/>
  <c r="R19" i="76"/>
  <c r="R87" i="76"/>
  <c r="R82" i="76"/>
  <c r="R78" i="76"/>
  <c r="R50" i="76"/>
  <c r="R47" i="76"/>
  <c r="R42" i="76"/>
  <c r="R30" i="76"/>
  <c r="R77" i="76"/>
  <c r="R69" i="76"/>
  <c r="R61" i="76"/>
  <c r="R58" i="76"/>
  <c r="R41" i="76"/>
  <c r="R29" i="76"/>
  <c r="R18" i="76"/>
  <c r="R86" i="76"/>
  <c r="R83" i="76"/>
  <c r="R74" i="76"/>
  <c r="R66" i="76"/>
  <c r="R54" i="76"/>
  <c r="R51" i="76"/>
  <c r="R46" i="76"/>
  <c r="R38" i="76"/>
  <c r="R34" i="76"/>
  <c r="R73" i="76"/>
  <c r="R70" i="76"/>
  <c r="R62" i="76"/>
  <c r="R57" i="76"/>
  <c r="R45" i="76"/>
  <c r="R37" i="76"/>
  <c r="R33" i="76"/>
  <c r="R26" i="76"/>
  <c r="R21" i="76"/>
  <c r="R84" i="76"/>
  <c r="R81" i="76"/>
  <c r="R55" i="76"/>
  <c r="R25" i="76"/>
  <c r="P23" i="76"/>
  <c r="R95" i="76"/>
  <c r="R90" i="76"/>
  <c r="R52" i="76"/>
  <c r="R39" i="76"/>
  <c r="R71" i="76"/>
  <c r="R40" i="76"/>
  <c r="R35" i="76"/>
  <c r="R27" i="76"/>
  <c r="R64" i="76"/>
  <c r="R60" i="76"/>
  <c r="R63" i="76"/>
  <c r="R67" i="76"/>
  <c r="R68" i="76"/>
  <c r="R75" i="76"/>
  <c r="R28" i="76"/>
  <c r="R76" i="76"/>
  <c r="R49" i="76"/>
  <c r="R70" i="71"/>
  <c r="R69" i="71"/>
  <c r="R65" i="71"/>
  <c r="R67" i="71"/>
  <c r="R52" i="71"/>
  <c r="R49" i="71"/>
  <c r="R44" i="71"/>
  <c r="R36" i="71"/>
  <c r="R32" i="71"/>
  <c r="R24" i="71"/>
  <c r="R22" i="71"/>
  <c r="P20" i="71"/>
  <c r="R66" i="71"/>
  <c r="R64" i="71"/>
  <c r="R60" i="71"/>
  <c r="R43" i="71"/>
  <c r="R35" i="71"/>
  <c r="R31" i="71"/>
  <c r="R63" i="71"/>
  <c r="R54" i="71"/>
  <c r="R51" i="71"/>
  <c r="R46" i="71"/>
  <c r="R42" i="71"/>
  <c r="R30" i="71"/>
  <c r="R23" i="71"/>
  <c r="R18" i="71"/>
  <c r="R73" i="71"/>
  <c r="R57" i="71"/>
  <c r="R41" i="71"/>
  <c r="R34" i="71"/>
  <c r="R29" i="71"/>
  <c r="R17" i="71"/>
  <c r="R77" i="71"/>
  <c r="R56" i="71"/>
  <c r="R53" i="71"/>
  <c r="R48" i="71"/>
  <c r="R45" i="71"/>
  <c r="R40" i="71"/>
  <c r="R28" i="71"/>
  <c r="X12" i="71"/>
  <c r="Z12" i="71" s="1"/>
  <c r="R71" i="71"/>
  <c r="R59" i="71"/>
  <c r="R39" i="71"/>
  <c r="R27" i="71"/>
  <c r="R16" i="71"/>
  <c r="R68" i="71"/>
  <c r="R37" i="71"/>
  <c r="R26" i="71"/>
  <c r="R61" i="71"/>
  <c r="R50" i="71"/>
  <c r="R38" i="71"/>
  <c r="R58" i="71"/>
  <c r="R55" i="71"/>
  <c r="R33" i="71"/>
  <c r="R25" i="71"/>
  <c r="R62" i="71"/>
  <c r="R47" i="71"/>
  <c r="H62" i="60"/>
  <c r="T79" i="48"/>
  <c r="H120" i="36"/>
  <c r="N25" i="36"/>
  <c r="L18" i="93"/>
  <c r="D27" i="93"/>
  <c r="T27" i="95"/>
  <c r="Z18" i="95"/>
  <c r="X18" i="95"/>
  <c r="P27" i="95"/>
  <c r="X18" i="93"/>
  <c r="T92" i="91"/>
  <c r="R23" i="90"/>
  <c r="D53" i="84"/>
  <c r="T28" i="85"/>
  <c r="Z16" i="85"/>
  <c r="H57" i="84"/>
  <c r="T34" i="79"/>
  <c r="R38" i="86"/>
  <c r="R32" i="86"/>
  <c r="R29" i="86"/>
  <c r="R24" i="86"/>
  <c r="R31" i="86"/>
  <c r="R26" i="86"/>
  <c r="R34" i="86"/>
  <c r="R21" i="86"/>
  <c r="R16" i="86"/>
  <c r="R23" i="86"/>
  <c r="R15" i="86"/>
  <c r="X12" i="86"/>
  <c r="P18" i="86"/>
  <c r="R18" i="86" s="1"/>
  <c r="R25" i="86"/>
  <c r="R22" i="86"/>
  <c r="R27" i="86"/>
  <c r="R20" i="86"/>
  <c r="R30" i="86"/>
  <c r="R28" i="86"/>
  <c r="T53" i="84"/>
  <c r="Z16" i="84"/>
  <c r="H32" i="75"/>
  <c r="N22" i="75"/>
  <c r="H35" i="85"/>
  <c r="F19" i="72"/>
  <c r="T79" i="69"/>
  <c r="V31" i="69"/>
  <c r="F79" i="73"/>
  <c r="F75" i="73"/>
  <c r="F71" i="73"/>
  <c r="F67" i="73"/>
  <c r="F63" i="73"/>
  <c r="F58" i="73"/>
  <c r="F55" i="73"/>
  <c r="F43" i="73"/>
  <c r="F35" i="73"/>
  <c r="F31" i="73"/>
  <c r="F82" i="73"/>
  <c r="F74" i="73"/>
  <c r="F70" i="73"/>
  <c r="F66" i="73"/>
  <c r="F49" i="73"/>
  <c r="F46" i="73"/>
  <c r="F42" i="73"/>
  <c r="F30" i="73"/>
  <c r="F18" i="73"/>
  <c r="F86" i="73"/>
  <c r="F73" i="73"/>
  <c r="F69" i="73"/>
  <c r="F65" i="73"/>
  <c r="F60" i="73"/>
  <c r="F57" i="73"/>
  <c r="F41" i="73"/>
  <c r="F29" i="73"/>
  <c r="F24" i="73"/>
  <c r="F23" i="73"/>
  <c r="F17" i="73"/>
  <c r="F90" i="73"/>
  <c r="F84" i="73"/>
  <c r="F51" i="73"/>
  <c r="F48" i="73"/>
  <c r="F40" i="73"/>
  <c r="F28" i="73"/>
  <c r="L12" i="73"/>
  <c r="N12" i="73" s="1"/>
  <c r="F77" i="73"/>
  <c r="F72" i="73"/>
  <c r="F68" i="73"/>
  <c r="F64" i="73"/>
  <c r="F61" i="73"/>
  <c r="F56" i="73"/>
  <c r="F53" i="73"/>
  <c r="F37" i="73"/>
  <c r="F33" i="73"/>
  <c r="F25" i="73"/>
  <c r="F16" i="73"/>
  <c r="F83" i="73"/>
  <c r="F80" i="73"/>
  <c r="F76" i="73"/>
  <c r="F52" i="73"/>
  <c r="F47" i="73"/>
  <c r="F44" i="73"/>
  <c r="F36" i="73"/>
  <c r="F32" i="73"/>
  <c r="F34" i="73"/>
  <c r="F38" i="73"/>
  <c r="F27" i="73"/>
  <c r="F81" i="73"/>
  <c r="F39" i="73"/>
  <c r="F78" i="73"/>
  <c r="F50" i="73"/>
  <c r="F19" i="73"/>
  <c r="F62" i="73"/>
  <c r="F45" i="73"/>
  <c r="F59" i="73"/>
  <c r="F26" i="73"/>
  <c r="D21" i="73"/>
  <c r="F21" i="73" s="1"/>
  <c r="F54" i="73"/>
  <c r="H79" i="69"/>
  <c r="N31" i="69"/>
  <c r="J31" i="69"/>
  <c r="X24" i="74"/>
  <c r="P90" i="74"/>
  <c r="R23" i="68"/>
  <c r="T27" i="52"/>
  <c r="Z18" i="52"/>
  <c r="H57" i="61"/>
  <c r="N16" i="61"/>
  <c r="H27" i="53"/>
  <c r="N18" i="53"/>
  <c r="R76" i="51"/>
  <c r="R70" i="51"/>
  <c r="R50" i="51"/>
  <c r="R38" i="51"/>
  <c r="R26" i="51"/>
  <c r="R19" i="51"/>
  <c r="R81" i="51"/>
  <c r="R69" i="51"/>
  <c r="R66" i="51"/>
  <c r="R61" i="51"/>
  <c r="R58" i="51"/>
  <c r="R49" i="51"/>
  <c r="R37" i="51"/>
  <c r="R25" i="51"/>
  <c r="R72" i="51"/>
  <c r="R48" i="51"/>
  <c r="R44" i="51"/>
  <c r="R36" i="51"/>
  <c r="R24" i="51"/>
  <c r="R75" i="51"/>
  <c r="R68" i="51"/>
  <c r="R63" i="51"/>
  <c r="R60" i="51"/>
  <c r="R55" i="51"/>
  <c r="R47" i="51"/>
  <c r="R43" i="51"/>
  <c r="R35" i="51"/>
  <c r="R33" i="51"/>
  <c r="P31" i="51"/>
  <c r="R23" i="51"/>
  <c r="R71" i="51"/>
  <c r="R54" i="51"/>
  <c r="R46" i="51"/>
  <c r="R42" i="51"/>
  <c r="R22" i="51"/>
  <c r="X12" i="51"/>
  <c r="Z12" i="51" s="1"/>
  <c r="R52" i="51"/>
  <c r="R45" i="51"/>
  <c r="R40" i="51"/>
  <c r="R28" i="51"/>
  <c r="R20" i="51"/>
  <c r="R74" i="51"/>
  <c r="R67" i="51"/>
  <c r="R64" i="51"/>
  <c r="R59" i="51"/>
  <c r="R56" i="51"/>
  <c r="R51" i="51"/>
  <c r="R39" i="51"/>
  <c r="R27" i="51"/>
  <c r="R29" i="51"/>
  <c r="R65" i="51"/>
  <c r="R57" i="51"/>
  <c r="R53" i="51"/>
  <c r="R34" i="51"/>
  <c r="R21" i="51"/>
  <c r="R77" i="51"/>
  <c r="R62" i="51"/>
  <c r="R41" i="51"/>
  <c r="L18" i="46"/>
  <c r="D27" i="46"/>
  <c r="Z22" i="54"/>
  <c r="T26" i="54"/>
  <c r="H27" i="41"/>
  <c r="N18" i="41"/>
  <c r="X27" i="44"/>
  <c r="P31" i="44"/>
  <c r="X18" i="40"/>
  <c r="T100" i="45"/>
  <c r="Z23" i="45"/>
  <c r="P36" i="40"/>
  <c r="D75" i="48"/>
  <c r="L17" i="48"/>
  <c r="N17" i="48" s="1"/>
  <c r="J25" i="36"/>
  <c r="T27" i="50"/>
  <c r="Z18" i="50"/>
  <c r="R107" i="42"/>
  <c r="X18" i="27"/>
  <c r="P27" i="27"/>
  <c r="D31" i="35"/>
  <c r="L18" i="30"/>
  <c r="D27" i="30"/>
  <c r="H27" i="20"/>
  <c r="L27" i="20" s="1"/>
  <c r="N18" i="20"/>
  <c r="H27" i="22"/>
  <c r="L27" i="22" s="1"/>
  <c r="N18" i="22"/>
  <c r="F68" i="31"/>
  <c r="F60" i="31"/>
  <c r="F51" i="31"/>
  <c r="F48" i="31"/>
  <c r="F44" i="31"/>
  <c r="F32" i="31"/>
  <c r="F20" i="31"/>
  <c r="F72" i="31"/>
  <c r="F67" i="31"/>
  <c r="F63" i="31"/>
  <c r="F59" i="31"/>
  <c r="F43" i="31"/>
  <c r="F31" i="31"/>
  <c r="F26" i="31"/>
  <c r="F25" i="31"/>
  <c r="F70" i="31"/>
  <c r="F66" i="31"/>
  <c r="F53" i="31"/>
  <c r="F50" i="31"/>
  <c r="F42" i="31"/>
  <c r="F30" i="31"/>
  <c r="F65" i="31"/>
  <c r="F56" i="31"/>
  <c r="F41" i="31"/>
  <c r="F36" i="31"/>
  <c r="F29" i="31"/>
  <c r="F73" i="31"/>
  <c r="F52" i="31"/>
  <c r="F47" i="31"/>
  <c r="F40" i="31"/>
  <c r="F28" i="31"/>
  <c r="F19" i="31"/>
  <c r="F62" i="31"/>
  <c r="F58" i="31"/>
  <c r="F55" i="31"/>
  <c r="F39" i="31"/>
  <c r="F35" i="31"/>
  <c r="F27" i="31"/>
  <c r="F69" i="31"/>
  <c r="F54" i="31"/>
  <c r="F49" i="31"/>
  <c r="F46" i="31"/>
  <c r="F38" i="31"/>
  <c r="F34" i="31"/>
  <c r="F23" i="31"/>
  <c r="L12" i="31"/>
  <c r="N12" i="31" s="1"/>
  <c r="F57" i="31"/>
  <c r="F45" i="31"/>
  <c r="F21" i="31"/>
  <c r="F64" i="31"/>
  <c r="F61" i="31"/>
  <c r="F37" i="31"/>
  <c r="F33" i="31"/>
  <c r="D23" i="31"/>
  <c r="F77" i="31"/>
  <c r="Z27" i="27"/>
  <c r="T31" i="27"/>
  <c r="L18" i="27"/>
  <c r="X18" i="23"/>
  <c r="P27" i="23"/>
  <c r="X18" i="17"/>
  <c r="P27" i="17"/>
  <c r="T36" i="19"/>
  <c r="Z36" i="19" s="1"/>
  <c r="H155" i="15"/>
  <c r="D27" i="10"/>
  <c r="L18" i="10"/>
  <c r="D22" i="6"/>
  <c r="L16" i="6"/>
  <c r="T97" i="9"/>
  <c r="Z16" i="9"/>
  <c r="P31" i="5"/>
  <c r="X27" i="5"/>
  <c r="L18" i="14"/>
  <c r="F151" i="12"/>
  <c r="F147" i="12"/>
  <c r="F135" i="12"/>
  <c r="F131" i="12"/>
  <c r="F127" i="12"/>
  <c r="F123" i="12"/>
  <c r="F119" i="12"/>
  <c r="F162" i="12"/>
  <c r="F157" i="12"/>
  <c r="F141" i="12"/>
  <c r="F134" i="12"/>
  <c r="F126" i="12"/>
  <c r="F122" i="12"/>
  <c r="F118" i="12"/>
  <c r="F114" i="12"/>
  <c r="F109" i="12"/>
  <c r="F106" i="12"/>
  <c r="F97" i="12"/>
  <c r="F94" i="12"/>
  <c r="F85" i="12"/>
  <c r="F82" i="12"/>
  <c r="F78" i="12"/>
  <c r="F66" i="12"/>
  <c r="D56" i="12"/>
  <c r="F54" i="12"/>
  <c r="F46" i="12"/>
  <c r="F38" i="12"/>
  <c r="F30" i="12"/>
  <c r="F25" i="12"/>
  <c r="F154" i="12"/>
  <c r="F144" i="12"/>
  <c r="F121" i="12"/>
  <c r="F117" i="12"/>
  <c r="F77" i="12"/>
  <c r="F65" i="12"/>
  <c r="F53" i="12"/>
  <c r="F45" i="12"/>
  <c r="F37" i="12"/>
  <c r="F29" i="12"/>
  <c r="F140" i="12"/>
  <c r="F116" i="12"/>
  <c r="F111" i="12"/>
  <c r="F108" i="12"/>
  <c r="F99" i="12"/>
  <c r="F96" i="12"/>
  <c r="F87" i="12"/>
  <c r="F84" i="12"/>
  <c r="F76" i="12"/>
  <c r="F64" i="12"/>
  <c r="F59" i="12"/>
  <c r="F58" i="12"/>
  <c r="F52" i="12"/>
  <c r="F44" i="12"/>
  <c r="F36" i="12"/>
  <c r="F28" i="12"/>
  <c r="F142" i="12"/>
  <c r="F138" i="12"/>
  <c r="F133" i="12"/>
  <c r="F125" i="12"/>
  <c r="F113" i="12"/>
  <c r="F110" i="12"/>
  <c r="F105" i="12"/>
  <c r="F98" i="12"/>
  <c r="F93" i="12"/>
  <c r="F86" i="12"/>
  <c r="F81" i="12"/>
  <c r="F74" i="12"/>
  <c r="F62" i="12"/>
  <c r="F50" i="12"/>
  <c r="F42" i="12"/>
  <c r="F34" i="12"/>
  <c r="F26" i="12"/>
  <c r="L12" i="12"/>
  <c r="N12" i="12" s="1"/>
  <c r="F158" i="12"/>
  <c r="F149" i="12"/>
  <c r="F145" i="12"/>
  <c r="F137" i="12"/>
  <c r="F129" i="12"/>
  <c r="F120" i="12"/>
  <c r="F101" i="12"/>
  <c r="F89" i="12"/>
  <c r="F73" i="12"/>
  <c r="F69" i="12"/>
  <c r="F61" i="12"/>
  <c r="F49" i="12"/>
  <c r="F41" i="12"/>
  <c r="F33" i="12"/>
  <c r="F95" i="12"/>
  <c r="F83" i="12"/>
  <c r="F63" i="12"/>
  <c r="F146" i="12"/>
  <c r="F112" i="12"/>
  <c r="F43" i="12"/>
  <c r="F148" i="12"/>
  <c r="F136" i="12"/>
  <c r="F75" i="12"/>
  <c r="F72" i="12"/>
  <c r="F68" i="12"/>
  <c r="F48" i="12"/>
  <c r="F47" i="12"/>
  <c r="F35" i="12"/>
  <c r="F130" i="12"/>
  <c r="F115" i="12"/>
  <c r="F153" i="12"/>
  <c r="F102" i="12"/>
  <c r="F139" i="12"/>
  <c r="F124" i="12"/>
  <c r="F107" i="12"/>
  <c r="F92" i="12"/>
  <c r="F91" i="12"/>
  <c r="F90" i="12"/>
  <c r="F80" i="12"/>
  <c r="F79" i="12"/>
  <c r="F32" i="12"/>
  <c r="F31" i="12"/>
  <c r="F143" i="12"/>
  <c r="F128" i="12"/>
  <c r="F103" i="12"/>
  <c r="F56" i="12"/>
  <c r="F155" i="12"/>
  <c r="F150" i="12"/>
  <c r="F104" i="12"/>
  <c r="F88" i="12"/>
  <c r="F70" i="12"/>
  <c r="F40" i="12"/>
  <c r="F39" i="12"/>
  <c r="F156" i="12"/>
  <c r="F132" i="12"/>
  <c r="F100" i="12"/>
  <c r="F71" i="12"/>
  <c r="F67" i="12"/>
  <c r="F60" i="12"/>
  <c r="F51" i="12"/>
  <c r="F27" i="12"/>
  <c r="L16" i="9"/>
  <c r="P27" i="8"/>
  <c r="X18" i="8"/>
  <c r="P36" i="13"/>
  <c r="H36" i="7"/>
  <c r="N36" i="7" s="1"/>
  <c r="N31" i="7"/>
  <c r="H31" i="89"/>
  <c r="N31" i="89" s="1"/>
  <c r="N28" i="89"/>
  <c r="N16" i="77"/>
  <c r="H26" i="77"/>
  <c r="D32" i="75"/>
  <c r="L22" i="75"/>
  <c r="N16" i="56"/>
  <c r="H75" i="56"/>
  <c r="H27" i="46"/>
  <c r="N18" i="46"/>
  <c r="L18" i="95"/>
  <c r="D27" i="95"/>
  <c r="H27" i="93"/>
  <c r="N18" i="93"/>
  <c r="F72" i="92"/>
  <c r="X16" i="89"/>
  <c r="P24" i="89"/>
  <c r="H93" i="90"/>
  <c r="L23" i="90"/>
  <c r="N23" i="90" s="1"/>
  <c r="T24" i="89"/>
  <c r="Z16" i="89"/>
  <c r="T97" i="90"/>
  <c r="D63" i="87"/>
  <c r="L59" i="87"/>
  <c r="T63" i="87"/>
  <c r="T95" i="82"/>
  <c r="X16" i="84"/>
  <c r="P53" i="84"/>
  <c r="N16" i="78"/>
  <c r="H78" i="78"/>
  <c r="N18" i="86"/>
  <c r="H36" i="86"/>
  <c r="P88" i="83"/>
  <c r="X20" i="83"/>
  <c r="Z20" i="83" s="1"/>
  <c r="P32" i="80"/>
  <c r="X28" i="80"/>
  <c r="Z28" i="80" s="1"/>
  <c r="D30" i="77"/>
  <c r="L26" i="77"/>
  <c r="P19" i="72"/>
  <c r="R27" i="72"/>
  <c r="R17" i="72"/>
  <c r="R23" i="72"/>
  <c r="R16" i="72"/>
  <c r="R21" i="72"/>
  <c r="X12" i="72"/>
  <c r="Z12" i="72" s="1"/>
  <c r="H32" i="80"/>
  <c r="H88" i="73"/>
  <c r="T116" i="67"/>
  <c r="V112" i="67"/>
  <c r="T59" i="64"/>
  <c r="Z22" i="64"/>
  <c r="J40" i="67"/>
  <c r="X16" i="59"/>
  <c r="P67" i="59"/>
  <c r="L18" i="50"/>
  <c r="D27" i="50"/>
  <c r="D61" i="61"/>
  <c r="L57" i="61"/>
  <c r="D27" i="52"/>
  <c r="L18" i="52"/>
  <c r="D67" i="59"/>
  <c r="L16" i="59"/>
  <c r="T81" i="58"/>
  <c r="H27" i="50"/>
  <c r="N18" i="50"/>
  <c r="T79" i="56"/>
  <c r="L16" i="58"/>
  <c r="H35" i="55"/>
  <c r="N31" i="55"/>
  <c r="T79" i="51"/>
  <c r="V31" i="51"/>
  <c r="T71" i="57"/>
  <c r="H27" i="40"/>
  <c r="N18" i="40"/>
  <c r="P100" i="45"/>
  <c r="X23" i="45"/>
  <c r="R23" i="45"/>
  <c r="X18" i="44"/>
  <c r="X18" i="35"/>
  <c r="P27" i="35"/>
  <c r="F109" i="42"/>
  <c r="F107" i="42"/>
  <c r="F102" i="42"/>
  <c r="F90" i="42"/>
  <c r="F85" i="42"/>
  <c r="F82" i="42"/>
  <c r="F77" i="42"/>
  <c r="F74" i="42"/>
  <c r="F61" i="42"/>
  <c r="F58" i="42"/>
  <c r="F46" i="42"/>
  <c r="F38" i="42"/>
  <c r="F34" i="42"/>
  <c r="D24" i="42"/>
  <c r="F22" i="42"/>
  <c r="L12" i="42"/>
  <c r="N12" i="42" s="1"/>
  <c r="F105" i="42"/>
  <c r="F96" i="42"/>
  <c r="F89" i="42"/>
  <c r="F81" i="42"/>
  <c r="F73" i="42"/>
  <c r="F69" i="42"/>
  <c r="F64" i="42"/>
  <c r="F52" i="42"/>
  <c r="F49" i="42"/>
  <c r="F45" i="42"/>
  <c r="F33" i="42"/>
  <c r="F21" i="42"/>
  <c r="F111" i="42"/>
  <c r="F99" i="42"/>
  <c r="F88" i="42"/>
  <c r="F84" i="42"/>
  <c r="F80" i="42"/>
  <c r="F76" i="42"/>
  <c r="F72" i="42"/>
  <c r="F60" i="42"/>
  <c r="F44" i="42"/>
  <c r="F32" i="42"/>
  <c r="F27" i="42"/>
  <c r="F26" i="42"/>
  <c r="F20" i="42"/>
  <c r="F108" i="42"/>
  <c r="F95" i="42"/>
  <c r="F87" i="42"/>
  <c r="F79" i="42"/>
  <c r="F71" i="42"/>
  <c r="F66" i="42"/>
  <c r="F63" i="42"/>
  <c r="F54" i="42"/>
  <c r="F51" i="42"/>
  <c r="F43" i="42"/>
  <c r="F31" i="42"/>
  <c r="F101" i="42"/>
  <c r="F98" i="42"/>
  <c r="F94" i="42"/>
  <c r="F86" i="42"/>
  <c r="F78" i="42"/>
  <c r="F62" i="42"/>
  <c r="F57" i="42"/>
  <c r="F42" i="42"/>
  <c r="F37" i="42"/>
  <c r="F30" i="42"/>
  <c r="F100" i="42"/>
  <c r="F92" i="42"/>
  <c r="F83" i="42"/>
  <c r="F75" i="42"/>
  <c r="F59" i="42"/>
  <c r="F56" i="42"/>
  <c r="F40" i="42"/>
  <c r="F36" i="42"/>
  <c r="F28" i="42"/>
  <c r="F19" i="42"/>
  <c r="F103" i="42"/>
  <c r="F91" i="42"/>
  <c r="F70" i="42"/>
  <c r="F67" i="42"/>
  <c r="F55" i="42"/>
  <c r="F50" i="42"/>
  <c r="F47" i="42"/>
  <c r="F39" i="42"/>
  <c r="F35" i="42"/>
  <c r="F65" i="42"/>
  <c r="F41" i="42"/>
  <c r="F97" i="42"/>
  <c r="F29" i="42"/>
  <c r="F110" i="42"/>
  <c r="F53" i="42"/>
  <c r="F48" i="42"/>
  <c r="F104" i="42"/>
  <c r="F93" i="42"/>
  <c r="F115" i="42"/>
  <c r="F68" i="42"/>
  <c r="H27" i="35"/>
  <c r="L27" i="35" s="1"/>
  <c r="N18" i="35"/>
  <c r="V24" i="42"/>
  <c r="R115" i="36"/>
  <c r="R108" i="36"/>
  <c r="R95" i="36"/>
  <c r="R91" i="36"/>
  <c r="R87" i="36"/>
  <c r="R79" i="36"/>
  <c r="R75" i="36"/>
  <c r="R72" i="36"/>
  <c r="R67" i="36"/>
  <c r="R55" i="36"/>
  <c r="R52" i="36"/>
  <c r="R43" i="36"/>
  <c r="R31" i="36"/>
  <c r="R20" i="36"/>
  <c r="R111" i="36"/>
  <c r="R102" i="36"/>
  <c r="R94" i="36"/>
  <c r="R90" i="36"/>
  <c r="R86" i="36"/>
  <c r="R82" i="36"/>
  <c r="R78" i="36"/>
  <c r="R66" i="36"/>
  <c r="R63" i="36"/>
  <c r="R58" i="36"/>
  <c r="R42" i="36"/>
  <c r="R38" i="36"/>
  <c r="R30" i="36"/>
  <c r="R117" i="36"/>
  <c r="R105" i="36"/>
  <c r="R101" i="36"/>
  <c r="R93" i="36"/>
  <c r="R85" i="36"/>
  <c r="R77" i="36"/>
  <c r="R74" i="36"/>
  <c r="R69" i="36"/>
  <c r="R57" i="36"/>
  <c r="R54" i="36"/>
  <c r="R49" i="36"/>
  <c r="R41" i="36"/>
  <c r="R37" i="36"/>
  <c r="R29" i="36"/>
  <c r="R27" i="36"/>
  <c r="P25" i="36"/>
  <c r="R25" i="36" s="1"/>
  <c r="R122" i="36"/>
  <c r="R104" i="36"/>
  <c r="R100" i="36"/>
  <c r="R89" i="36"/>
  <c r="R84" i="36"/>
  <c r="R81" i="36"/>
  <c r="R65" i="36"/>
  <c r="R60" i="36"/>
  <c r="R48" i="36"/>
  <c r="R40" i="36"/>
  <c r="R36" i="36"/>
  <c r="X12" i="36"/>
  <c r="Z12" i="36" s="1"/>
  <c r="R114" i="36"/>
  <c r="R107" i="36"/>
  <c r="R99" i="36"/>
  <c r="R92" i="36"/>
  <c r="R76" i="36"/>
  <c r="R71" i="36"/>
  <c r="R68" i="36"/>
  <c r="R56" i="36"/>
  <c r="R51" i="36"/>
  <c r="R47" i="36"/>
  <c r="R35" i="36"/>
  <c r="R28" i="36"/>
  <c r="R23" i="36"/>
  <c r="R116" i="36"/>
  <c r="R110" i="36"/>
  <c r="R103" i="36"/>
  <c r="R98" i="36"/>
  <c r="R83" i="36"/>
  <c r="R62" i="36"/>
  <c r="R59" i="36"/>
  <c r="R46" i="36"/>
  <c r="R39" i="36"/>
  <c r="R34" i="36"/>
  <c r="R22" i="36"/>
  <c r="R109" i="36"/>
  <c r="R106" i="36"/>
  <c r="R97" i="36"/>
  <c r="R73" i="36"/>
  <c r="R70" i="36"/>
  <c r="R53" i="36"/>
  <c r="R50" i="36"/>
  <c r="R45" i="36"/>
  <c r="R33" i="36"/>
  <c r="R21" i="36"/>
  <c r="R118" i="36"/>
  <c r="R96" i="36"/>
  <c r="R32" i="36"/>
  <c r="R61" i="36"/>
  <c r="R88" i="36"/>
  <c r="R112" i="36"/>
  <c r="R64" i="36"/>
  <c r="R44" i="36"/>
  <c r="R80" i="36"/>
  <c r="H27" i="32"/>
  <c r="N18" i="32"/>
  <c r="L18" i="35"/>
  <c r="D27" i="32"/>
  <c r="L18" i="32"/>
  <c r="N40" i="28"/>
  <c r="H124" i="28"/>
  <c r="H27" i="23"/>
  <c r="L27" i="23" s="1"/>
  <c r="N18" i="23"/>
  <c r="X18" i="30"/>
  <c r="R148" i="15"/>
  <c r="R142" i="15"/>
  <c r="R138" i="15"/>
  <c r="R135" i="15"/>
  <c r="R126" i="15"/>
  <c r="R122" i="15"/>
  <c r="R118" i="15"/>
  <c r="R114" i="15"/>
  <c r="R110" i="15"/>
  <c r="R106" i="15"/>
  <c r="R103" i="15"/>
  <c r="R98" i="15"/>
  <c r="R94" i="15"/>
  <c r="R91" i="15"/>
  <c r="R86" i="15"/>
  <c r="R82" i="15"/>
  <c r="R79" i="15"/>
  <c r="R74" i="15"/>
  <c r="R66" i="15"/>
  <c r="R62" i="15"/>
  <c r="R54" i="15"/>
  <c r="R52" i="15"/>
  <c r="P50" i="15"/>
  <c r="R42" i="15"/>
  <c r="R34" i="15"/>
  <c r="R26" i="15"/>
  <c r="X12" i="15"/>
  <c r="Z12" i="15" s="1"/>
  <c r="R153" i="15"/>
  <c r="R145" i="15"/>
  <c r="R125" i="15"/>
  <c r="R113" i="15"/>
  <c r="R109" i="15"/>
  <c r="R97" i="15"/>
  <c r="R85" i="15"/>
  <c r="R73" i="15"/>
  <c r="R65" i="15"/>
  <c r="R61" i="15"/>
  <c r="R41" i="15"/>
  <c r="R33" i="15"/>
  <c r="R25" i="15"/>
  <c r="R141" i="15"/>
  <c r="R137" i="15"/>
  <c r="R121" i="15"/>
  <c r="R117" i="15"/>
  <c r="R108" i="15"/>
  <c r="R105" i="15"/>
  <c r="R100" i="15"/>
  <c r="R93" i="15"/>
  <c r="R88" i="15"/>
  <c r="R81" i="15"/>
  <c r="R76" i="15"/>
  <c r="R72" i="15"/>
  <c r="R60" i="15"/>
  <c r="R53" i="15"/>
  <c r="R48" i="15"/>
  <c r="R40" i="15"/>
  <c r="R32" i="15"/>
  <c r="R24" i="15"/>
  <c r="R147" i="15"/>
  <c r="R131" i="15"/>
  <c r="R124" i="15"/>
  <c r="R112" i="15"/>
  <c r="R96" i="15"/>
  <c r="R84" i="15"/>
  <c r="R71" i="15"/>
  <c r="R64" i="15"/>
  <c r="R59" i="15"/>
  <c r="R47" i="15"/>
  <c r="R39" i="15"/>
  <c r="R31" i="15"/>
  <c r="R23" i="15"/>
  <c r="R134" i="15"/>
  <c r="R130" i="15"/>
  <c r="R107" i="15"/>
  <c r="R102" i="15"/>
  <c r="R99" i="15"/>
  <c r="R90" i="15"/>
  <c r="R87" i="15"/>
  <c r="R78" i="15"/>
  <c r="R75" i="15"/>
  <c r="R70" i="15"/>
  <c r="R58" i="15"/>
  <c r="R46" i="15"/>
  <c r="R38" i="15"/>
  <c r="R30" i="15"/>
  <c r="R22" i="15"/>
  <c r="R149" i="15"/>
  <c r="R144" i="15"/>
  <c r="R133" i="15"/>
  <c r="R129" i="15"/>
  <c r="R69" i="15"/>
  <c r="R57" i="15"/>
  <c r="R45" i="15"/>
  <c r="R37" i="15"/>
  <c r="R29" i="15"/>
  <c r="R146" i="15"/>
  <c r="R140" i="15"/>
  <c r="R136" i="15"/>
  <c r="R128" i="15"/>
  <c r="R120" i="15"/>
  <c r="R116" i="15"/>
  <c r="R104" i="15"/>
  <c r="R101" i="15"/>
  <c r="R92" i="15"/>
  <c r="R89" i="15"/>
  <c r="R80" i="15"/>
  <c r="R77" i="15"/>
  <c r="R68" i="15"/>
  <c r="R56" i="15"/>
  <c r="R44" i="15"/>
  <c r="R36" i="15"/>
  <c r="R28" i="15"/>
  <c r="R21" i="15"/>
  <c r="R95" i="15"/>
  <c r="R119" i="15"/>
  <c r="R139" i="15"/>
  <c r="R35" i="15"/>
  <c r="R111" i="15"/>
  <c r="R123" i="15"/>
  <c r="R55" i="15"/>
  <c r="R115" i="15"/>
  <c r="R63" i="15"/>
  <c r="R132" i="15"/>
  <c r="R43" i="15"/>
  <c r="R27" i="15"/>
  <c r="R127" i="15"/>
  <c r="R83" i="15"/>
  <c r="R67" i="15"/>
  <c r="J31" i="25"/>
  <c r="D31" i="20"/>
  <c r="R95" i="25"/>
  <c r="R77" i="25"/>
  <c r="R73" i="25"/>
  <c r="R61" i="25"/>
  <c r="R58" i="25"/>
  <c r="R87" i="25"/>
  <c r="R80" i="25"/>
  <c r="R76" i="25"/>
  <c r="R72" i="25"/>
  <c r="R69" i="25"/>
  <c r="R89" i="25"/>
  <c r="R83" i="25"/>
  <c r="R79" i="25"/>
  <c r="R82" i="25"/>
  <c r="R75" i="25"/>
  <c r="R71" i="25"/>
  <c r="R66" i="25"/>
  <c r="R54" i="25"/>
  <c r="R91" i="25"/>
  <c r="R85" i="25"/>
  <c r="R78" i="25"/>
  <c r="R65" i="25"/>
  <c r="R62" i="25"/>
  <c r="R57" i="25"/>
  <c r="R53" i="25"/>
  <c r="R88" i="25"/>
  <c r="R81" i="25"/>
  <c r="R68" i="25"/>
  <c r="R52" i="25"/>
  <c r="R84" i="25"/>
  <c r="R64" i="25"/>
  <c r="R59" i="25"/>
  <c r="R56" i="25"/>
  <c r="R67" i="25"/>
  <c r="R51" i="25"/>
  <c r="R41" i="25"/>
  <c r="R34" i="25"/>
  <c r="R29" i="25"/>
  <c r="R21" i="25"/>
  <c r="R45" i="25"/>
  <c r="R40" i="25"/>
  <c r="R28" i="25"/>
  <c r="R20" i="25"/>
  <c r="R74" i="25"/>
  <c r="R63" i="25"/>
  <c r="R55" i="25"/>
  <c r="R39" i="25"/>
  <c r="R27" i="25"/>
  <c r="R38" i="25"/>
  <c r="R26" i="25"/>
  <c r="R19" i="25"/>
  <c r="R44" i="25"/>
  <c r="R36" i="25"/>
  <c r="R31" i="25"/>
  <c r="R24" i="25"/>
  <c r="R90" i="25"/>
  <c r="R49" i="25"/>
  <c r="R48" i="25"/>
  <c r="R47" i="25"/>
  <c r="R43" i="25"/>
  <c r="R35" i="25"/>
  <c r="R33" i="25"/>
  <c r="P31" i="25"/>
  <c r="R23" i="25"/>
  <c r="R70" i="25"/>
  <c r="R50" i="25"/>
  <c r="R46" i="25"/>
  <c r="R42" i="25"/>
  <c r="R22" i="25"/>
  <c r="X12" i="25"/>
  <c r="Z12" i="25" s="1"/>
  <c r="R37" i="25"/>
  <c r="R60" i="25"/>
  <c r="R25" i="25"/>
  <c r="J151" i="15"/>
  <c r="X18" i="14"/>
  <c r="P27" i="14"/>
  <c r="T159" i="18"/>
  <c r="P27" i="16"/>
  <c r="X18" i="16"/>
  <c r="H27" i="8"/>
  <c r="N18" i="8"/>
  <c r="H176" i="3"/>
  <c r="H27" i="10"/>
  <c r="N18" i="10"/>
  <c r="Z31" i="7"/>
  <c r="T36" i="7"/>
  <c r="Z36" i="7" s="1"/>
  <c r="F183" i="3"/>
  <c r="F168" i="3"/>
  <c r="F166" i="3"/>
  <c r="F161" i="3"/>
  <c r="F149" i="3"/>
  <c r="F140" i="3"/>
  <c r="F125" i="3"/>
  <c r="F120" i="3"/>
  <c r="F117" i="3"/>
  <c r="F112" i="3"/>
  <c r="F108" i="3"/>
  <c r="F96" i="3"/>
  <c r="F81" i="3"/>
  <c r="F76" i="3"/>
  <c r="F69" i="3"/>
  <c r="F57" i="3"/>
  <c r="F49" i="3"/>
  <c r="F41" i="3"/>
  <c r="F33" i="3"/>
  <c r="F182" i="3"/>
  <c r="F153" i="3"/>
  <c r="F133" i="3"/>
  <c r="F124" i="3"/>
  <c r="F178" i="3"/>
  <c r="F173" i="3"/>
  <c r="F164" i="3"/>
  <c r="F160" i="3"/>
  <c r="F148" i="3"/>
  <c r="F143" i="3"/>
  <c r="F104" i="3"/>
  <c r="F99" i="3"/>
  <c r="F92" i="3"/>
  <c r="F87" i="3"/>
  <c r="F80" i="3"/>
  <c r="F68" i="3"/>
  <c r="F56" i="3"/>
  <c r="F48" i="3"/>
  <c r="F40" i="3"/>
  <c r="F32" i="3"/>
  <c r="F172" i="3"/>
  <c r="F141" i="3"/>
  <c r="F170" i="3"/>
  <c r="F154" i="3"/>
  <c r="F147" i="3"/>
  <c r="F139" i="3"/>
  <c r="F134" i="3"/>
  <c r="F122" i="3"/>
  <c r="F119" i="3"/>
  <c r="F114" i="3"/>
  <c r="F111" i="3"/>
  <c r="F107" i="3"/>
  <c r="F95" i="3"/>
  <c r="F79" i="3"/>
  <c r="F75" i="3"/>
  <c r="F67" i="3"/>
  <c r="F55" i="3"/>
  <c r="F47" i="3"/>
  <c r="F39" i="3"/>
  <c r="F31" i="3"/>
  <c r="F137" i="3"/>
  <c r="F167" i="3"/>
  <c r="F157" i="3"/>
  <c r="F146" i="3"/>
  <c r="F142" i="3"/>
  <c r="F138" i="3"/>
  <c r="F129" i="3"/>
  <c r="F110" i="3"/>
  <c r="F106" i="3"/>
  <c r="F101" i="3"/>
  <c r="F98" i="3"/>
  <c r="F94" i="3"/>
  <c r="F89" i="3"/>
  <c r="F86" i="3"/>
  <c r="F78" i="3"/>
  <c r="F74" i="3"/>
  <c r="F66" i="3"/>
  <c r="F54" i="3"/>
  <c r="F46" i="3"/>
  <c r="F38" i="3"/>
  <c r="F30" i="3"/>
  <c r="F25" i="3"/>
  <c r="F169" i="3"/>
  <c r="F163" i="3"/>
  <c r="F159" i="3"/>
  <c r="F156" i="3"/>
  <c r="F152" i="3"/>
  <c r="F144" i="3"/>
  <c r="F136" i="3"/>
  <c r="F132" i="3"/>
  <c r="F128" i="3"/>
  <c r="F103" i="3"/>
  <c r="F100" i="3"/>
  <c r="F91" i="3"/>
  <c r="F88" i="3"/>
  <c r="F84" i="3"/>
  <c r="F72" i="3"/>
  <c r="D62" i="3"/>
  <c r="F60" i="3"/>
  <c r="F52" i="3"/>
  <c r="F44" i="3"/>
  <c r="F36" i="3"/>
  <c r="F28" i="3"/>
  <c r="F43" i="3"/>
  <c r="F35" i="3"/>
  <c r="F27" i="3"/>
  <c r="F174" i="3"/>
  <c r="F155" i="3"/>
  <c r="F151" i="3"/>
  <c r="F135" i="3"/>
  <c r="F131" i="3"/>
  <c r="F127" i="3"/>
  <c r="F123" i="3"/>
  <c r="F118" i="3"/>
  <c r="F115" i="3"/>
  <c r="F83" i="3"/>
  <c r="F71" i="3"/>
  <c r="F59" i="3"/>
  <c r="F51" i="3"/>
  <c r="F26" i="3"/>
  <c r="L12" i="3"/>
  <c r="N12" i="3" s="1"/>
  <c r="F171" i="3"/>
  <c r="F162" i="3"/>
  <c r="F158" i="3"/>
  <c r="F150" i="3"/>
  <c r="F130" i="3"/>
  <c r="F126" i="3"/>
  <c r="F105" i="3"/>
  <c r="F102" i="3"/>
  <c r="F93" i="3"/>
  <c r="F90" i="3"/>
  <c r="F82" i="3"/>
  <c r="F70" i="3"/>
  <c r="F65" i="3"/>
  <c r="F64" i="3"/>
  <c r="F58" i="3"/>
  <c r="F50" i="3"/>
  <c r="F42" i="3"/>
  <c r="F34" i="3"/>
  <c r="F145" i="3"/>
  <c r="F73" i="3"/>
  <c r="F97" i="3"/>
  <c r="F121" i="3"/>
  <c r="F116" i="3"/>
  <c r="F109" i="3"/>
  <c r="F45" i="3"/>
  <c r="F62" i="3"/>
  <c r="F113" i="3"/>
  <c r="F29" i="3"/>
  <c r="F77" i="3"/>
  <c r="F53" i="3"/>
  <c r="F37" i="3"/>
  <c r="F85" i="3"/>
  <c r="H90" i="74"/>
  <c r="N24" i="74"/>
  <c r="J116" i="39"/>
  <c r="T116" i="39"/>
  <c r="L18" i="26"/>
  <c r="D27" i="26"/>
  <c r="F127" i="34"/>
  <c r="F117" i="34"/>
  <c r="F109" i="34"/>
  <c r="F105" i="34"/>
  <c r="F101" i="34"/>
  <c r="F97" i="34"/>
  <c r="F120" i="34"/>
  <c r="F108" i="34"/>
  <c r="F131" i="34"/>
  <c r="F126" i="34"/>
  <c r="F124" i="34"/>
  <c r="F119" i="34"/>
  <c r="F114" i="34"/>
  <c r="F122" i="34"/>
  <c r="F93" i="34"/>
  <c r="F90" i="34"/>
  <c r="F116" i="34"/>
  <c r="F113" i="34"/>
  <c r="F104" i="34"/>
  <c r="F100" i="34"/>
  <c r="F96" i="34"/>
  <c r="F125" i="34"/>
  <c r="F112" i="34"/>
  <c r="F107" i="34"/>
  <c r="F121" i="34"/>
  <c r="F92" i="34"/>
  <c r="F79" i="34"/>
  <c r="F76" i="34"/>
  <c r="F64" i="34"/>
  <c r="F56" i="34"/>
  <c r="F52" i="34"/>
  <c r="D42" i="34"/>
  <c r="F40" i="34"/>
  <c r="F32" i="34"/>
  <c r="F24" i="34"/>
  <c r="F19" i="34"/>
  <c r="F118" i="34"/>
  <c r="F99" i="34"/>
  <c r="F98" i="34"/>
  <c r="F88" i="34"/>
  <c r="F82" i="34"/>
  <c r="F70" i="34"/>
  <c r="F67" i="34"/>
  <c r="F63" i="34"/>
  <c r="F51" i="34"/>
  <c r="F39" i="34"/>
  <c r="F31" i="34"/>
  <c r="F23" i="34"/>
  <c r="F85" i="34"/>
  <c r="F78" i="34"/>
  <c r="F62" i="34"/>
  <c r="F50" i="34"/>
  <c r="F45" i="34"/>
  <c r="F44" i="34"/>
  <c r="F38" i="34"/>
  <c r="F30" i="34"/>
  <c r="F22" i="34"/>
  <c r="L12" i="34"/>
  <c r="N12" i="34" s="1"/>
  <c r="F91" i="34"/>
  <c r="F81" i="34"/>
  <c r="F72" i="34"/>
  <c r="F69" i="34"/>
  <c r="F61" i="34"/>
  <c r="F49" i="34"/>
  <c r="F37" i="34"/>
  <c r="F29" i="34"/>
  <c r="F21" i="34"/>
  <c r="F103" i="34"/>
  <c r="F102" i="34"/>
  <c r="F87" i="34"/>
  <c r="F84" i="34"/>
  <c r="F80" i="34"/>
  <c r="F75" i="34"/>
  <c r="F60" i="34"/>
  <c r="F55" i="34"/>
  <c r="F48" i="34"/>
  <c r="F36" i="34"/>
  <c r="F28" i="34"/>
  <c r="F20" i="34"/>
  <c r="F83" i="34"/>
  <c r="F71" i="34"/>
  <c r="F66" i="34"/>
  <c r="F59" i="34"/>
  <c r="F47" i="34"/>
  <c r="F35" i="34"/>
  <c r="F27" i="34"/>
  <c r="F115" i="34"/>
  <c r="F111" i="34"/>
  <c r="F110" i="34"/>
  <c r="F106" i="34"/>
  <c r="F94" i="34"/>
  <c r="F86" i="34"/>
  <c r="F77" i="34"/>
  <c r="F74" i="34"/>
  <c r="F58" i="34"/>
  <c r="F54" i="34"/>
  <c r="F46" i="34"/>
  <c r="F34" i="34"/>
  <c r="F26" i="34"/>
  <c r="F95" i="34"/>
  <c r="F89" i="34"/>
  <c r="F33" i="34"/>
  <c r="F73" i="34"/>
  <c r="F53" i="34"/>
  <c r="F42" i="34"/>
  <c r="F57" i="34"/>
  <c r="F68" i="34"/>
  <c r="F65" i="34"/>
  <c r="F25" i="34"/>
  <c r="X18" i="33"/>
  <c r="P27" i="33"/>
  <c r="H27" i="26"/>
  <c r="N18" i="26"/>
  <c r="T79" i="92"/>
  <c r="H96" i="91"/>
  <c r="D97" i="90"/>
  <c r="L93" i="90"/>
  <c r="R83" i="88"/>
  <c r="R71" i="88"/>
  <c r="R67" i="88"/>
  <c r="R64" i="88"/>
  <c r="R59" i="88"/>
  <c r="R56" i="88"/>
  <c r="R51" i="88"/>
  <c r="R48" i="88"/>
  <c r="R43" i="88"/>
  <c r="R89" i="88"/>
  <c r="R82" i="88"/>
  <c r="R75" i="88"/>
  <c r="R42" i="88"/>
  <c r="R85" i="88"/>
  <c r="R81" i="88"/>
  <c r="R70" i="88"/>
  <c r="R66" i="88"/>
  <c r="R61" i="88"/>
  <c r="R58" i="88"/>
  <c r="R53" i="88"/>
  <c r="R50" i="88"/>
  <c r="R80" i="88"/>
  <c r="R40" i="88"/>
  <c r="R36" i="88"/>
  <c r="R93" i="88"/>
  <c r="R87" i="88"/>
  <c r="R84" i="88"/>
  <c r="R79" i="88"/>
  <c r="R63" i="88"/>
  <c r="R60" i="88"/>
  <c r="R55" i="88"/>
  <c r="R52" i="88"/>
  <c r="R47" i="88"/>
  <c r="R39" i="88"/>
  <c r="R35" i="88"/>
  <c r="R78" i="88"/>
  <c r="R74" i="88"/>
  <c r="R46" i="88"/>
  <c r="R38" i="88"/>
  <c r="R34" i="88"/>
  <c r="R77" i="88"/>
  <c r="R72" i="88"/>
  <c r="R44" i="88"/>
  <c r="R26" i="88"/>
  <c r="R21" i="88"/>
  <c r="R68" i="88"/>
  <c r="R49" i="88"/>
  <c r="R45" i="88"/>
  <c r="R37" i="88"/>
  <c r="R20" i="88"/>
  <c r="X12" i="88"/>
  <c r="Z12" i="88" s="1"/>
  <c r="R86" i="88"/>
  <c r="R73" i="88"/>
  <c r="R69" i="88"/>
  <c r="R57" i="88"/>
  <c r="R41" i="88"/>
  <c r="R19" i="88"/>
  <c r="R18" i="88"/>
  <c r="R65" i="88"/>
  <c r="R62" i="88"/>
  <c r="R54" i="88"/>
  <c r="R29" i="88"/>
  <c r="R28" i="88"/>
  <c r="R33" i="88"/>
  <c r="R27" i="88"/>
  <c r="R30" i="88"/>
  <c r="R76" i="88"/>
  <c r="R31" i="88"/>
  <c r="R25" i="88"/>
  <c r="R32" i="88"/>
  <c r="P23" i="88"/>
  <c r="L16" i="87"/>
  <c r="H92" i="83"/>
  <c r="J88" i="83"/>
  <c r="D88" i="83"/>
  <c r="L20" i="83"/>
  <c r="N20" i="83" s="1"/>
  <c r="R86" i="82"/>
  <c r="R82" i="82"/>
  <c r="R54" i="82"/>
  <c r="R51" i="82"/>
  <c r="R46" i="82"/>
  <c r="R38" i="82"/>
  <c r="R34" i="82"/>
  <c r="R97" i="82"/>
  <c r="R92" i="82"/>
  <c r="R85" i="82"/>
  <c r="R81" i="82"/>
  <c r="R73" i="82"/>
  <c r="R88" i="82"/>
  <c r="R80" i="82"/>
  <c r="R72" i="82"/>
  <c r="R68" i="82"/>
  <c r="R53" i="82"/>
  <c r="R48" i="82"/>
  <c r="R44" i="82"/>
  <c r="R32" i="82"/>
  <c r="R20" i="82"/>
  <c r="X12" i="82"/>
  <c r="Z12" i="82" s="1"/>
  <c r="R90" i="82"/>
  <c r="R87" i="82"/>
  <c r="R78" i="82"/>
  <c r="R70" i="82"/>
  <c r="R50" i="82"/>
  <c r="R47" i="82"/>
  <c r="R42" i="82"/>
  <c r="R30" i="82"/>
  <c r="R89" i="82"/>
  <c r="R74" i="82"/>
  <c r="R59" i="82"/>
  <c r="R58" i="82"/>
  <c r="R43" i="82"/>
  <c r="R35" i="82"/>
  <c r="R93" i="82"/>
  <c r="R77" i="82"/>
  <c r="R69" i="82"/>
  <c r="R66" i="82"/>
  <c r="R57" i="82"/>
  <c r="R56" i="82"/>
  <c r="R45" i="82"/>
  <c r="R31" i="82"/>
  <c r="R83" i="82"/>
  <c r="R79" i="82"/>
  <c r="R64" i="82"/>
  <c r="R49" i="82"/>
  <c r="R21" i="82"/>
  <c r="R63" i="82"/>
  <c r="R62" i="82"/>
  <c r="R27" i="82"/>
  <c r="R26" i="82"/>
  <c r="R61" i="82"/>
  <c r="R60" i="82"/>
  <c r="R41" i="82"/>
  <c r="R40" i="82"/>
  <c r="R39" i="82"/>
  <c r="R29" i="82"/>
  <c r="R28" i="82"/>
  <c r="R71" i="82"/>
  <c r="R55" i="82"/>
  <c r="R18" i="82"/>
  <c r="R37" i="82"/>
  <c r="R25" i="82"/>
  <c r="P23" i="82"/>
  <c r="R23" i="82" s="1"/>
  <c r="R19" i="82"/>
  <c r="R75" i="82"/>
  <c r="R33" i="82"/>
  <c r="R65" i="82"/>
  <c r="R84" i="82"/>
  <c r="R67" i="82"/>
  <c r="R52" i="82"/>
  <c r="R36" i="82"/>
  <c r="R76" i="82"/>
  <c r="H30" i="79"/>
  <c r="L30" i="79" s="1"/>
  <c r="N16" i="79"/>
  <c r="P32" i="75"/>
  <c r="X22" i="75"/>
  <c r="Z22" i="75" s="1"/>
  <c r="L28" i="80"/>
  <c r="N28" i="80" s="1"/>
  <c r="D32" i="80"/>
  <c r="H93" i="76"/>
  <c r="N23" i="76"/>
  <c r="T36" i="75"/>
  <c r="T90" i="74"/>
  <c r="Z24" i="74"/>
  <c r="F69" i="71"/>
  <c r="F68" i="71"/>
  <c r="F77" i="71"/>
  <c r="F73" i="71"/>
  <c r="F63" i="71"/>
  <c r="F56" i="71"/>
  <c r="F51" i="71"/>
  <c r="F48" i="71"/>
  <c r="F40" i="71"/>
  <c r="F28" i="71"/>
  <c r="F23" i="71"/>
  <c r="F22" i="71"/>
  <c r="L12" i="71"/>
  <c r="N12" i="71" s="1"/>
  <c r="F71" i="71"/>
  <c r="F59" i="71"/>
  <c r="F39" i="71"/>
  <c r="F34" i="71"/>
  <c r="F27" i="71"/>
  <c r="F70" i="71"/>
  <c r="F62" i="71"/>
  <c r="F53" i="71"/>
  <c r="F50" i="71"/>
  <c r="F45" i="71"/>
  <c r="F38" i="71"/>
  <c r="F26" i="71"/>
  <c r="F61" i="71"/>
  <c r="F37" i="71"/>
  <c r="F33" i="71"/>
  <c r="F25" i="71"/>
  <c r="F16" i="71"/>
  <c r="F67" i="71"/>
  <c r="F55" i="71"/>
  <c r="F52" i="71"/>
  <c r="F47" i="71"/>
  <c r="F44" i="71"/>
  <c r="F36" i="71"/>
  <c r="F32" i="71"/>
  <c r="F24" i="71"/>
  <c r="F66" i="71"/>
  <c r="F65" i="71"/>
  <c r="F64" i="71"/>
  <c r="F58" i="71"/>
  <c r="F43" i="71"/>
  <c r="F35" i="71"/>
  <c r="F31" i="71"/>
  <c r="F17" i="71"/>
  <c r="F60" i="71"/>
  <c r="F49" i="71"/>
  <c r="F57" i="71"/>
  <c r="F29" i="71"/>
  <c r="F42" i="71"/>
  <c r="F46" i="71"/>
  <c r="D20" i="71"/>
  <c r="F54" i="71"/>
  <c r="F30" i="71"/>
  <c r="F18" i="71"/>
  <c r="F41" i="71"/>
  <c r="D90" i="74"/>
  <c r="L24" i="74"/>
  <c r="T79" i="71"/>
  <c r="T25" i="72"/>
  <c r="F90" i="65"/>
  <c r="F84" i="65"/>
  <c r="F77" i="65"/>
  <c r="F73" i="65"/>
  <c r="F64" i="65"/>
  <c r="F61" i="65"/>
  <c r="F56" i="65"/>
  <c r="F49" i="65"/>
  <c r="F37" i="65"/>
  <c r="F80" i="65"/>
  <c r="F76" i="65"/>
  <c r="F72" i="65"/>
  <c r="F67" i="65"/>
  <c r="F48" i="65"/>
  <c r="F44" i="65"/>
  <c r="F36" i="65"/>
  <c r="F24" i="65"/>
  <c r="F19" i="65"/>
  <c r="F83" i="65"/>
  <c r="F79" i="65"/>
  <c r="F63" i="65"/>
  <c r="F58" i="65"/>
  <c r="F55" i="65"/>
  <c r="F47" i="65"/>
  <c r="F43" i="65"/>
  <c r="F35" i="65"/>
  <c r="F23" i="65"/>
  <c r="F89" i="65"/>
  <c r="F87" i="65"/>
  <c r="F82" i="65"/>
  <c r="F69" i="65"/>
  <c r="F66" i="65"/>
  <c r="F54" i="65"/>
  <c r="F46" i="65"/>
  <c r="F42" i="65"/>
  <c r="F31" i="65"/>
  <c r="F22" i="65"/>
  <c r="L12" i="65"/>
  <c r="N12" i="65" s="1"/>
  <c r="F85" i="65"/>
  <c r="F65" i="65"/>
  <c r="F60" i="65"/>
  <c r="F57" i="65"/>
  <c r="F53" i="65"/>
  <c r="F41" i="65"/>
  <c r="D31" i="65"/>
  <c r="F29" i="65"/>
  <c r="F95" i="65"/>
  <c r="F91" i="65"/>
  <c r="F88" i="65"/>
  <c r="F78" i="65"/>
  <c r="F62" i="65"/>
  <c r="F59" i="65"/>
  <c r="F51" i="65"/>
  <c r="F39" i="65"/>
  <c r="F34" i="65"/>
  <c r="F33" i="65"/>
  <c r="F27" i="65"/>
  <c r="F81" i="65"/>
  <c r="F74" i="65"/>
  <c r="F70" i="65"/>
  <c r="F50" i="65"/>
  <c r="F45" i="65"/>
  <c r="F38" i="65"/>
  <c r="F71" i="65"/>
  <c r="F68" i="65"/>
  <c r="F26" i="65"/>
  <c r="F25" i="65"/>
  <c r="F75" i="65"/>
  <c r="F28" i="65"/>
  <c r="F21" i="65"/>
  <c r="F52" i="65"/>
  <c r="F40" i="65"/>
  <c r="F20" i="65"/>
  <c r="F98" i="67"/>
  <c r="F94" i="67"/>
  <c r="F90" i="67"/>
  <c r="F86" i="67"/>
  <c r="F81" i="67"/>
  <c r="F78" i="67"/>
  <c r="F58" i="67"/>
  <c r="F53" i="67"/>
  <c r="F46" i="67"/>
  <c r="F110" i="67"/>
  <c r="F104" i="67"/>
  <c r="F101" i="67"/>
  <c r="F97" i="67"/>
  <c r="F93" i="67"/>
  <c r="F89" i="67"/>
  <c r="F77" i="67"/>
  <c r="F72" i="67"/>
  <c r="F69" i="67"/>
  <c r="F64" i="67"/>
  <c r="F57" i="67"/>
  <c r="F45" i="67"/>
  <c r="F33" i="67"/>
  <c r="F25" i="67"/>
  <c r="F96" i="67"/>
  <c r="F83" i="67"/>
  <c r="F80" i="67"/>
  <c r="F56" i="67"/>
  <c r="F52" i="67"/>
  <c r="F44" i="67"/>
  <c r="F32" i="67"/>
  <c r="F24" i="67"/>
  <c r="F19" i="67"/>
  <c r="F105" i="67"/>
  <c r="F100" i="67"/>
  <c r="F92" i="67"/>
  <c r="F88" i="67"/>
  <c r="F76" i="67"/>
  <c r="F95" i="67"/>
  <c r="F74" i="67"/>
  <c r="F60" i="67"/>
  <c r="F59" i="67"/>
  <c r="F82" i="67"/>
  <c r="F75" i="67"/>
  <c r="F71" i="67"/>
  <c r="F63" i="67"/>
  <c r="F62" i="67"/>
  <c r="F61" i="67"/>
  <c r="F103" i="67"/>
  <c r="F84" i="67"/>
  <c r="F79" i="67"/>
  <c r="F109" i="67"/>
  <c r="F108" i="67"/>
  <c r="F99" i="67"/>
  <c r="F87" i="67"/>
  <c r="F85" i="67"/>
  <c r="F107" i="67"/>
  <c r="F102" i="67"/>
  <c r="F70" i="67"/>
  <c r="F43" i="67"/>
  <c r="F91" i="67"/>
  <c r="F68" i="67"/>
  <c r="F48" i="67"/>
  <c r="F47" i="67"/>
  <c r="F36" i="67"/>
  <c r="F35" i="67"/>
  <c r="F31" i="67"/>
  <c r="F28" i="67"/>
  <c r="F27" i="67"/>
  <c r="F23" i="67"/>
  <c r="F20" i="67"/>
  <c r="L12" i="67"/>
  <c r="N12" i="67" s="1"/>
  <c r="F73" i="67"/>
  <c r="F67" i="67"/>
  <c r="F66" i="67"/>
  <c r="F65" i="67"/>
  <c r="F51" i="67"/>
  <c r="F50" i="67"/>
  <c r="F49" i="67"/>
  <c r="F42" i="67"/>
  <c r="D40" i="67"/>
  <c r="F38" i="67"/>
  <c r="F37" i="67"/>
  <c r="F34" i="67"/>
  <c r="F30" i="67"/>
  <c r="F29" i="67"/>
  <c r="F26" i="67"/>
  <c r="F22" i="67"/>
  <c r="F21" i="67"/>
  <c r="F54" i="67"/>
  <c r="F55" i="67"/>
  <c r="F114" i="67"/>
  <c r="F81" i="63"/>
  <c r="F78" i="63"/>
  <c r="F57" i="63"/>
  <c r="F54" i="63"/>
  <c r="F50" i="63"/>
  <c r="F38" i="63"/>
  <c r="F33" i="63"/>
  <c r="F32" i="63"/>
  <c r="F26" i="63"/>
  <c r="F77" i="63"/>
  <c r="F68" i="63"/>
  <c r="F65" i="63"/>
  <c r="F49" i="63"/>
  <c r="F37" i="63"/>
  <c r="F71" i="63"/>
  <c r="F59" i="63"/>
  <c r="F56" i="63"/>
  <c r="F48" i="63"/>
  <c r="F88" i="63"/>
  <c r="F82" i="63"/>
  <c r="F74" i="63"/>
  <c r="F67" i="63"/>
  <c r="F62" i="63"/>
  <c r="F47" i="63"/>
  <c r="F42" i="63"/>
  <c r="F35" i="63"/>
  <c r="F23" i="63"/>
  <c r="F18" i="63"/>
  <c r="F80" i="63"/>
  <c r="F72" i="63"/>
  <c r="F60" i="63"/>
  <c r="F55" i="63"/>
  <c r="F52" i="63"/>
  <c r="F44" i="63"/>
  <c r="F40" i="63"/>
  <c r="D30" i="63"/>
  <c r="F28" i="63"/>
  <c r="F20" i="63"/>
  <c r="L12" i="63"/>
  <c r="N12" i="63" s="1"/>
  <c r="F79" i="63"/>
  <c r="F75" i="63"/>
  <c r="F66" i="63"/>
  <c r="F63" i="63"/>
  <c r="F51" i="63"/>
  <c r="F43" i="63"/>
  <c r="F39" i="63"/>
  <c r="F27" i="63"/>
  <c r="F19" i="63"/>
  <c r="F36" i="63"/>
  <c r="F25" i="63"/>
  <c r="F24" i="63"/>
  <c r="F84" i="63"/>
  <c r="F76" i="63"/>
  <c r="F61" i="63"/>
  <c r="F70" i="63"/>
  <c r="F69" i="63"/>
  <c r="F46" i="63"/>
  <c r="F45" i="63"/>
  <c r="F34" i="63"/>
  <c r="F30" i="63"/>
  <c r="F58" i="63"/>
  <c r="F53" i="63"/>
  <c r="F22" i="63"/>
  <c r="F73" i="63"/>
  <c r="F21" i="63"/>
  <c r="F64" i="63"/>
  <c r="F41" i="63"/>
  <c r="T57" i="61"/>
  <c r="Z16" i="61"/>
  <c r="T105" i="62"/>
  <c r="P31" i="55"/>
  <c r="X16" i="55"/>
  <c r="D81" i="58"/>
  <c r="L77" i="58"/>
  <c r="N16" i="54"/>
  <c r="H22" i="54"/>
  <c r="L22" i="54" s="1"/>
  <c r="P27" i="49"/>
  <c r="X18" i="49"/>
  <c r="T35" i="55"/>
  <c r="T71" i="59"/>
  <c r="D79" i="56"/>
  <c r="L75" i="56"/>
  <c r="H36" i="49"/>
  <c r="N36" i="49" s="1"/>
  <c r="N31" i="49"/>
  <c r="T27" i="41"/>
  <c r="X27" i="41" s="1"/>
  <c r="Z18" i="41"/>
  <c r="V25" i="39"/>
  <c r="T27" i="38"/>
  <c r="Z18" i="38"/>
  <c r="P31" i="32"/>
  <c r="X27" i="32"/>
  <c r="P36" i="26"/>
  <c r="D31" i="19"/>
  <c r="L27" i="19"/>
  <c r="Z42" i="34"/>
  <c r="T129" i="34"/>
  <c r="V42" i="34"/>
  <c r="N25" i="21"/>
  <c r="H95" i="21"/>
  <c r="H27" i="30"/>
  <c r="N18" i="30"/>
  <c r="T31" i="23"/>
  <c r="Z27" i="23"/>
  <c r="T160" i="12"/>
  <c r="V56" i="12"/>
  <c r="L18" i="20"/>
  <c r="H27" i="13"/>
  <c r="N18" i="13"/>
  <c r="P27" i="7"/>
  <c r="X18" i="7"/>
  <c r="F147" i="15"/>
  <c r="F141" i="15"/>
  <c r="F137" i="15"/>
  <c r="F134" i="15"/>
  <c r="F130" i="15"/>
  <c r="F121" i="15"/>
  <c r="F117" i="15"/>
  <c r="F105" i="15"/>
  <c r="F102" i="15"/>
  <c r="F93" i="15"/>
  <c r="F90" i="15"/>
  <c r="F81" i="15"/>
  <c r="F78" i="15"/>
  <c r="F70" i="15"/>
  <c r="F58" i="15"/>
  <c r="F53" i="15"/>
  <c r="F52" i="15"/>
  <c r="F46" i="15"/>
  <c r="F38" i="15"/>
  <c r="F30" i="15"/>
  <c r="F22" i="15"/>
  <c r="F133" i="15"/>
  <c r="F129" i="15"/>
  <c r="F124" i="15"/>
  <c r="F112" i="15"/>
  <c r="F96" i="15"/>
  <c r="F84" i="15"/>
  <c r="F69" i="15"/>
  <c r="F64" i="15"/>
  <c r="F57" i="15"/>
  <c r="F45" i="15"/>
  <c r="F37" i="15"/>
  <c r="F29" i="15"/>
  <c r="F149" i="15"/>
  <c r="F140" i="15"/>
  <c r="F136" i="15"/>
  <c r="F128" i="15"/>
  <c r="F120" i="15"/>
  <c r="F116" i="15"/>
  <c r="F107" i="15"/>
  <c r="F104" i="15"/>
  <c r="F99" i="15"/>
  <c r="F92" i="15"/>
  <c r="F87" i="15"/>
  <c r="F80" i="15"/>
  <c r="F75" i="15"/>
  <c r="F68" i="15"/>
  <c r="F56" i="15"/>
  <c r="F44" i="15"/>
  <c r="F36" i="15"/>
  <c r="F28" i="15"/>
  <c r="F146" i="15"/>
  <c r="F144" i="15"/>
  <c r="F139" i="15"/>
  <c r="F127" i="15"/>
  <c r="F123" i="15"/>
  <c r="F119" i="15"/>
  <c r="F115" i="15"/>
  <c r="F111" i="15"/>
  <c r="F95" i="15"/>
  <c r="F83" i="15"/>
  <c r="F67" i="15"/>
  <c r="F63" i="15"/>
  <c r="F55" i="15"/>
  <c r="F43" i="15"/>
  <c r="F35" i="15"/>
  <c r="F27" i="15"/>
  <c r="F142" i="15"/>
  <c r="F138" i="15"/>
  <c r="F126" i="15"/>
  <c r="F122" i="15"/>
  <c r="F118" i="15"/>
  <c r="F114" i="15"/>
  <c r="F110" i="15"/>
  <c r="F106" i="15"/>
  <c r="F101" i="15"/>
  <c r="F98" i="15"/>
  <c r="F94" i="15"/>
  <c r="F89" i="15"/>
  <c r="F86" i="15"/>
  <c r="F82" i="15"/>
  <c r="F77" i="15"/>
  <c r="F74" i="15"/>
  <c r="F66" i="15"/>
  <c r="F62" i="15"/>
  <c r="F54" i="15"/>
  <c r="F42" i="15"/>
  <c r="F34" i="15"/>
  <c r="F26" i="15"/>
  <c r="F21" i="15"/>
  <c r="L12" i="15"/>
  <c r="N12" i="15" s="1"/>
  <c r="F153" i="15"/>
  <c r="F148" i="15"/>
  <c r="F132" i="15"/>
  <c r="F125" i="15"/>
  <c r="F113" i="15"/>
  <c r="F109" i="15"/>
  <c r="F97" i="15"/>
  <c r="F85" i="15"/>
  <c r="F73" i="15"/>
  <c r="F65" i="15"/>
  <c r="F61" i="15"/>
  <c r="F50" i="15"/>
  <c r="F41" i="15"/>
  <c r="F33" i="15"/>
  <c r="F25" i="15"/>
  <c r="F145" i="15"/>
  <c r="F135" i="15"/>
  <c r="F108" i="15"/>
  <c r="F103" i="15"/>
  <c r="F100" i="15"/>
  <c r="F91" i="15"/>
  <c r="F88" i="15"/>
  <c r="F79" i="15"/>
  <c r="F76" i="15"/>
  <c r="F72" i="15"/>
  <c r="F60" i="15"/>
  <c r="D50" i="15"/>
  <c r="F48" i="15"/>
  <c r="F40" i="15"/>
  <c r="F32" i="15"/>
  <c r="F24" i="15"/>
  <c r="F39" i="15"/>
  <c r="F23" i="15"/>
  <c r="F71" i="15"/>
  <c r="F59" i="15"/>
  <c r="F31" i="15"/>
  <c r="F131" i="15"/>
  <c r="F47" i="15"/>
  <c r="Z18" i="17"/>
  <c r="T27" i="17"/>
  <c r="X16" i="9"/>
  <c r="P97" i="9"/>
  <c r="R169" i="3"/>
  <c r="R153" i="3"/>
  <c r="R145" i="3"/>
  <c r="R141" i="3"/>
  <c r="R137" i="3"/>
  <c r="R133" i="3"/>
  <c r="R121" i="3"/>
  <c r="R118" i="3"/>
  <c r="R113" i="3"/>
  <c r="R109" i="3"/>
  <c r="R97" i="3"/>
  <c r="R85" i="3"/>
  <c r="R77" i="3"/>
  <c r="R73" i="3"/>
  <c r="R53" i="3"/>
  <c r="R45" i="3"/>
  <c r="R37" i="3"/>
  <c r="R29" i="3"/>
  <c r="R174" i="3"/>
  <c r="R156" i="3"/>
  <c r="R152" i="3"/>
  <c r="R144" i="3"/>
  <c r="R136" i="3"/>
  <c r="R132" i="3"/>
  <c r="R128" i="3"/>
  <c r="R105" i="3"/>
  <c r="R100" i="3"/>
  <c r="R93" i="3"/>
  <c r="R88" i="3"/>
  <c r="R84" i="3"/>
  <c r="R72" i="3"/>
  <c r="R65" i="3"/>
  <c r="R60" i="3"/>
  <c r="R52" i="3"/>
  <c r="R44" i="3"/>
  <c r="R36" i="3"/>
  <c r="R28" i="3"/>
  <c r="R183" i="3"/>
  <c r="R171" i="3"/>
  <c r="R166" i="3"/>
  <c r="R155" i="3"/>
  <c r="R151" i="3"/>
  <c r="R140" i="3"/>
  <c r="R135" i="3"/>
  <c r="R131" i="3"/>
  <c r="R127" i="3"/>
  <c r="R123" i="3"/>
  <c r="R120" i="3"/>
  <c r="R115" i="3"/>
  <c r="R112" i="3"/>
  <c r="R108" i="3"/>
  <c r="R96" i="3"/>
  <c r="R83" i="3"/>
  <c r="R76" i="3"/>
  <c r="R71" i="3"/>
  <c r="R59" i="3"/>
  <c r="R51" i="3"/>
  <c r="R43" i="3"/>
  <c r="R35" i="3"/>
  <c r="R27" i="3"/>
  <c r="R161" i="3"/>
  <c r="R122" i="3"/>
  <c r="R168" i="3"/>
  <c r="R162" i="3"/>
  <c r="R158" i="3"/>
  <c r="R150" i="3"/>
  <c r="R143" i="3"/>
  <c r="R130" i="3"/>
  <c r="R126" i="3"/>
  <c r="R102" i="3"/>
  <c r="R99" i="3"/>
  <c r="R90" i="3"/>
  <c r="R87" i="3"/>
  <c r="R82" i="3"/>
  <c r="R70" i="3"/>
  <c r="R58" i="3"/>
  <c r="R50" i="3"/>
  <c r="R42" i="3"/>
  <c r="R34" i="3"/>
  <c r="R26" i="3"/>
  <c r="X12" i="3"/>
  <c r="Z12" i="3" s="1"/>
  <c r="R173" i="3"/>
  <c r="R178" i="3"/>
  <c r="R170" i="3"/>
  <c r="R164" i="3"/>
  <c r="R160" i="3"/>
  <c r="R157" i="3"/>
  <c r="R148" i="3"/>
  <c r="R129" i="3"/>
  <c r="R104" i="3"/>
  <c r="R101" i="3"/>
  <c r="R92" i="3"/>
  <c r="R89" i="3"/>
  <c r="R80" i="3"/>
  <c r="R68" i="3"/>
  <c r="R56" i="3"/>
  <c r="R48" i="3"/>
  <c r="R40" i="3"/>
  <c r="R32" i="3"/>
  <c r="R25" i="3"/>
  <c r="R47" i="3"/>
  <c r="R39" i="3"/>
  <c r="R31" i="3"/>
  <c r="R30" i="3"/>
  <c r="R154" i="3"/>
  <c r="R125" i="3"/>
  <c r="R182" i="3"/>
  <c r="R167" i="3"/>
  <c r="R147" i="3"/>
  <c r="R139" i="3"/>
  <c r="R124" i="3"/>
  <c r="R119" i="3"/>
  <c r="R116" i="3"/>
  <c r="R111" i="3"/>
  <c r="R107" i="3"/>
  <c r="R95" i="3"/>
  <c r="R79" i="3"/>
  <c r="R75" i="3"/>
  <c r="R67" i="3"/>
  <c r="R62" i="3"/>
  <c r="R55" i="3"/>
  <c r="R134" i="3"/>
  <c r="R172" i="3"/>
  <c r="R163" i="3"/>
  <c r="R159" i="3"/>
  <c r="R146" i="3"/>
  <c r="R142" i="3"/>
  <c r="R138" i="3"/>
  <c r="R110" i="3"/>
  <c r="R106" i="3"/>
  <c r="R103" i="3"/>
  <c r="R98" i="3"/>
  <c r="R94" i="3"/>
  <c r="R91" i="3"/>
  <c r="R86" i="3"/>
  <c r="R78" i="3"/>
  <c r="R74" i="3"/>
  <c r="R66" i="3"/>
  <c r="R64" i="3"/>
  <c r="P62" i="3"/>
  <c r="R54" i="3"/>
  <c r="R46" i="3"/>
  <c r="R38" i="3"/>
  <c r="R149" i="3"/>
  <c r="R114" i="3"/>
  <c r="R81" i="3"/>
  <c r="R49" i="3"/>
  <c r="R69" i="3"/>
  <c r="R117" i="3"/>
  <c r="R33" i="3"/>
  <c r="R57" i="3"/>
  <c r="R41" i="3"/>
  <c r="H27" i="11"/>
  <c r="N18" i="11"/>
  <c r="T26" i="6"/>
  <c r="X26" i="6" s="1"/>
  <c r="Z22" i="6"/>
  <c r="X22" i="6"/>
  <c r="T36" i="5"/>
  <c r="Z36" i="5" s="1"/>
  <c r="Z31" i="5"/>
  <c r="T36" i="49" l="1"/>
  <c r="Z36" i="49" s="1"/>
  <c r="T31" i="35"/>
  <c r="Z31" i="35" s="1"/>
  <c r="H36" i="5"/>
  <c r="N36" i="5" s="1"/>
  <c r="P31" i="19"/>
  <c r="P36" i="19" s="1"/>
  <c r="X36" i="19" s="1"/>
  <c r="H36" i="52"/>
  <c r="N36" i="52" s="1"/>
  <c r="X27" i="22"/>
  <c r="P31" i="22"/>
  <c r="L27" i="49"/>
  <c r="D31" i="49"/>
  <c r="N27" i="95"/>
  <c r="H31" i="95"/>
  <c r="Z27" i="93"/>
  <c r="T31" i="93"/>
  <c r="X27" i="93"/>
  <c r="T99" i="21"/>
  <c r="V95" i="21"/>
  <c r="T131" i="28"/>
  <c r="V128" i="28"/>
  <c r="T36" i="20"/>
  <c r="Z36" i="20" s="1"/>
  <c r="Z31" i="20"/>
  <c r="H133" i="34"/>
  <c r="J129" i="34"/>
  <c r="D62" i="60"/>
  <c r="L58" i="60"/>
  <c r="N58" i="60" s="1"/>
  <c r="H163" i="18"/>
  <c r="J159" i="18"/>
  <c r="N27" i="44"/>
  <c r="H31" i="44"/>
  <c r="H79" i="48"/>
  <c r="N75" i="48"/>
  <c r="J75" i="48"/>
  <c r="D29" i="72"/>
  <c r="L25" i="72"/>
  <c r="N25" i="72" s="1"/>
  <c r="F25" i="72"/>
  <c r="D95" i="82"/>
  <c r="L23" i="82"/>
  <c r="N23" i="82" s="1"/>
  <c r="X59" i="87"/>
  <c r="Z59" i="87" s="1"/>
  <c r="P63" i="87"/>
  <c r="P31" i="52"/>
  <c r="X27" i="52"/>
  <c r="H97" i="25"/>
  <c r="J93" i="25"/>
  <c r="T36" i="35"/>
  <c r="Z36" i="35" s="1"/>
  <c r="Z27" i="43"/>
  <c r="T31" i="43"/>
  <c r="D108" i="62"/>
  <c r="L105" i="62"/>
  <c r="T92" i="73"/>
  <c r="V88" i="73"/>
  <c r="H123" i="39"/>
  <c r="J120" i="39"/>
  <c r="D75" i="71"/>
  <c r="L20" i="71"/>
  <c r="N20" i="71" s="1"/>
  <c r="H128" i="28"/>
  <c r="J124" i="28"/>
  <c r="D113" i="42"/>
  <c r="L24" i="42"/>
  <c r="N24" i="42" s="1"/>
  <c r="H65" i="60"/>
  <c r="L27" i="40"/>
  <c r="D31" i="40"/>
  <c r="T108" i="62"/>
  <c r="F20" i="71"/>
  <c r="L62" i="3"/>
  <c r="N62" i="3" s="1"/>
  <c r="D176" i="3"/>
  <c r="T74" i="57"/>
  <c r="T82" i="56"/>
  <c r="L27" i="52"/>
  <c r="D31" i="52"/>
  <c r="H31" i="20"/>
  <c r="L31" i="20" s="1"/>
  <c r="N27" i="20"/>
  <c r="T104" i="45"/>
  <c r="V100" i="45"/>
  <c r="D31" i="46"/>
  <c r="L27" i="46"/>
  <c r="P79" i="51"/>
  <c r="X31" i="51"/>
  <c r="Z31" i="51" s="1"/>
  <c r="T83" i="69"/>
  <c r="V79" i="69"/>
  <c r="T96" i="91"/>
  <c r="V92" i="91"/>
  <c r="L27" i="93"/>
  <c r="D31" i="93"/>
  <c r="D31" i="13"/>
  <c r="L27" i="13"/>
  <c r="Z27" i="30"/>
  <c r="T31" i="30"/>
  <c r="X27" i="30"/>
  <c r="D32" i="81"/>
  <c r="L28" i="81"/>
  <c r="X27" i="94"/>
  <c r="P31" i="94"/>
  <c r="P124" i="28"/>
  <c r="X40" i="28"/>
  <c r="Z40" i="28" s="1"/>
  <c r="P31" i="20"/>
  <c r="X27" i="20"/>
  <c r="D116" i="39"/>
  <c r="L25" i="39"/>
  <c r="N25" i="39" s="1"/>
  <c r="D31" i="54"/>
  <c r="D75" i="68"/>
  <c r="L23" i="68"/>
  <c r="N23" i="68" s="1"/>
  <c r="Z32" i="81"/>
  <c r="T35" i="81"/>
  <c r="Z35" i="81" s="1"/>
  <c r="Z27" i="40"/>
  <c r="T31" i="40"/>
  <c r="X27" i="40"/>
  <c r="D36" i="5"/>
  <c r="L31" i="5"/>
  <c r="D128" i="28"/>
  <c r="L124" i="28"/>
  <c r="N124" i="28" s="1"/>
  <c r="F124" i="28"/>
  <c r="X27" i="50"/>
  <c r="P31" i="50"/>
  <c r="D79" i="51"/>
  <c r="L31" i="51"/>
  <c r="N31" i="51" s="1"/>
  <c r="X27" i="53"/>
  <c r="P31" i="53"/>
  <c r="P79" i="68"/>
  <c r="X75" i="68"/>
  <c r="R75" i="68"/>
  <c r="D36" i="7"/>
  <c r="L36" i="7" s="1"/>
  <c r="L31" i="7"/>
  <c r="N27" i="14"/>
  <c r="H31" i="14"/>
  <c r="L31" i="14" s="1"/>
  <c r="L27" i="53"/>
  <c r="D31" i="53"/>
  <c r="P92" i="91"/>
  <c r="X23" i="91"/>
  <c r="Z23" i="91" s="1"/>
  <c r="Z27" i="53"/>
  <c r="T31" i="53"/>
  <c r="T82" i="71"/>
  <c r="V79" i="71"/>
  <c r="T100" i="90"/>
  <c r="V97" i="90"/>
  <c r="D31" i="10"/>
  <c r="L27" i="10"/>
  <c r="T31" i="95"/>
  <c r="Z27" i="95"/>
  <c r="D36" i="14"/>
  <c r="H99" i="21"/>
  <c r="J95" i="21"/>
  <c r="D151" i="15"/>
  <c r="L50" i="15"/>
  <c r="N50" i="15" s="1"/>
  <c r="T164" i="12"/>
  <c r="V160" i="12"/>
  <c r="P31" i="49"/>
  <c r="X27" i="49"/>
  <c r="Z90" i="74"/>
  <c r="T94" i="74"/>
  <c r="V90" i="74"/>
  <c r="P36" i="75"/>
  <c r="X32" i="75"/>
  <c r="Z32" i="75" s="1"/>
  <c r="R32" i="75"/>
  <c r="X23" i="88"/>
  <c r="Z23" i="88" s="1"/>
  <c r="P91" i="88"/>
  <c r="R23" i="88"/>
  <c r="T82" i="92"/>
  <c r="V79" i="92"/>
  <c r="T120" i="39"/>
  <c r="V116" i="39"/>
  <c r="H31" i="8"/>
  <c r="N27" i="8"/>
  <c r="T63" i="64"/>
  <c r="X88" i="83"/>
  <c r="P92" i="83"/>
  <c r="T99" i="82"/>
  <c r="V95" i="82"/>
  <c r="T28" i="89"/>
  <c r="Z24" i="89"/>
  <c r="N27" i="93"/>
  <c r="H31" i="93"/>
  <c r="D36" i="75"/>
  <c r="L32" i="75"/>
  <c r="P36" i="5"/>
  <c r="X36" i="5" s="1"/>
  <c r="X31" i="5"/>
  <c r="H158" i="15"/>
  <c r="J155" i="15"/>
  <c r="T36" i="27"/>
  <c r="Z36" i="27" s="1"/>
  <c r="Z31" i="27"/>
  <c r="D31" i="30"/>
  <c r="L27" i="30"/>
  <c r="Z27" i="50"/>
  <c r="T31" i="50"/>
  <c r="N27" i="53"/>
  <c r="H31" i="53"/>
  <c r="L27" i="33"/>
  <c r="D31" i="33"/>
  <c r="P36" i="46"/>
  <c r="P79" i="48"/>
  <c r="X75" i="48"/>
  <c r="Z75" i="48" s="1"/>
  <c r="R75" i="48"/>
  <c r="H97" i="65"/>
  <c r="J93" i="65"/>
  <c r="H31" i="4"/>
  <c r="N27" i="4"/>
  <c r="D36" i="23"/>
  <c r="T31" i="8"/>
  <c r="Z27" i="8"/>
  <c r="N27" i="24"/>
  <c r="H31" i="24"/>
  <c r="D99" i="21"/>
  <c r="L95" i="21"/>
  <c r="N95" i="21" s="1"/>
  <c r="F95" i="21"/>
  <c r="H31" i="27"/>
  <c r="L31" i="27" s="1"/>
  <c r="N27" i="27"/>
  <c r="Z27" i="26"/>
  <c r="T31" i="26"/>
  <c r="X27" i="26"/>
  <c r="X58" i="60"/>
  <c r="Z58" i="60" s="1"/>
  <c r="P62" i="60"/>
  <c r="D97" i="76"/>
  <c r="L93" i="76"/>
  <c r="F93" i="76"/>
  <c r="D124" i="36"/>
  <c r="L120" i="36"/>
  <c r="F120" i="36"/>
  <c r="N27" i="33"/>
  <c r="H31" i="33"/>
  <c r="Z27" i="44"/>
  <c r="T31" i="44"/>
  <c r="X31" i="44" s="1"/>
  <c r="P31" i="43"/>
  <c r="X27" i="43"/>
  <c r="F31" i="51"/>
  <c r="T62" i="60"/>
  <c r="D37" i="79"/>
  <c r="N28" i="81"/>
  <c r="H32" i="81"/>
  <c r="T93" i="63"/>
  <c r="V90" i="63"/>
  <c r="D36" i="22"/>
  <c r="N27" i="47"/>
  <c r="H31" i="47"/>
  <c r="X88" i="73"/>
  <c r="Z88" i="73" s="1"/>
  <c r="P92" i="73"/>
  <c r="R88" i="73"/>
  <c r="Z27" i="94"/>
  <c r="T31" i="94"/>
  <c r="X27" i="35"/>
  <c r="P31" i="35"/>
  <c r="P35" i="80"/>
  <c r="X35" i="80" s="1"/>
  <c r="X32" i="80"/>
  <c r="Z32" i="80" s="1"/>
  <c r="P94" i="74"/>
  <c r="X90" i="74"/>
  <c r="R90" i="74"/>
  <c r="Z53" i="84"/>
  <c r="T57" i="84"/>
  <c r="T37" i="79"/>
  <c r="P75" i="71"/>
  <c r="X20" i="71"/>
  <c r="Z20" i="71" s="1"/>
  <c r="P101" i="9"/>
  <c r="X97" i="9"/>
  <c r="P36" i="32"/>
  <c r="X36" i="32" s="1"/>
  <c r="X31" i="32"/>
  <c r="H26" i="54"/>
  <c r="L26" i="54" s="1"/>
  <c r="N22" i="54"/>
  <c r="L90" i="74"/>
  <c r="D94" i="74"/>
  <c r="F90" i="74"/>
  <c r="D31" i="32"/>
  <c r="L27" i="32"/>
  <c r="F24" i="42"/>
  <c r="N27" i="50"/>
  <c r="H31" i="50"/>
  <c r="D64" i="61"/>
  <c r="H40" i="86"/>
  <c r="D31" i="95"/>
  <c r="L27" i="95"/>
  <c r="H30" i="77"/>
  <c r="N26" i="77"/>
  <c r="P36" i="44"/>
  <c r="H60" i="84"/>
  <c r="P133" i="34"/>
  <c r="X129" i="34"/>
  <c r="R129" i="34"/>
  <c r="P86" i="63"/>
  <c r="X30" i="63"/>
  <c r="Z30" i="63" s="1"/>
  <c r="P81" i="58"/>
  <c r="X77" i="58"/>
  <c r="Z77" i="58" s="1"/>
  <c r="D31" i="11"/>
  <c r="L27" i="11"/>
  <c r="D93" i="25"/>
  <c r="L31" i="25"/>
  <c r="N31" i="25" s="1"/>
  <c r="P31" i="24"/>
  <c r="X27" i="24"/>
  <c r="X78" i="78"/>
  <c r="P82" i="78"/>
  <c r="P34" i="79"/>
  <c r="X30" i="79"/>
  <c r="Z30" i="79" s="1"/>
  <c r="D92" i="91"/>
  <c r="L23" i="91"/>
  <c r="N23" i="91" s="1"/>
  <c r="T155" i="15"/>
  <c r="V151" i="15"/>
  <c r="P36" i="41"/>
  <c r="P71" i="57"/>
  <c r="X67" i="57"/>
  <c r="Z67" i="57" s="1"/>
  <c r="L79" i="69"/>
  <c r="D83" i="69"/>
  <c r="F79" i="69"/>
  <c r="P79" i="69"/>
  <c r="X31" i="69"/>
  <c r="Z31" i="69" s="1"/>
  <c r="T79" i="68"/>
  <c r="Z75" i="68"/>
  <c r="V75" i="68"/>
  <c r="T40" i="86"/>
  <c r="T36" i="14"/>
  <c r="Z36" i="14" s="1"/>
  <c r="Z31" i="14"/>
  <c r="T36" i="29"/>
  <c r="Z36" i="29" s="1"/>
  <c r="Z31" i="29"/>
  <c r="D31" i="47"/>
  <c r="L27" i="47"/>
  <c r="H83" i="51"/>
  <c r="J79" i="51"/>
  <c r="P35" i="55"/>
  <c r="X31" i="55"/>
  <c r="Z31" i="55" s="1"/>
  <c r="P120" i="36"/>
  <c r="X25" i="36"/>
  <c r="Z25" i="36" s="1"/>
  <c r="P36" i="86"/>
  <c r="X18" i="86"/>
  <c r="X23" i="76"/>
  <c r="Z23" i="76" s="1"/>
  <c r="P93" i="76"/>
  <c r="X25" i="21"/>
  <c r="Z25" i="21" s="1"/>
  <c r="P95" i="21"/>
  <c r="H90" i="63"/>
  <c r="J86" i="63"/>
  <c r="X101" i="62"/>
  <c r="Z101" i="62" s="1"/>
  <c r="P105" i="62"/>
  <c r="X62" i="3"/>
  <c r="Z62" i="3" s="1"/>
  <c r="P176" i="3"/>
  <c r="X27" i="7"/>
  <c r="P31" i="7"/>
  <c r="T133" i="34"/>
  <c r="Z129" i="34"/>
  <c r="V129" i="34"/>
  <c r="D82" i="56"/>
  <c r="L79" i="56"/>
  <c r="T61" i="61"/>
  <c r="T39" i="75"/>
  <c r="V36" i="75"/>
  <c r="H34" i="79"/>
  <c r="N30" i="79"/>
  <c r="N27" i="26"/>
  <c r="H31" i="26"/>
  <c r="D129" i="34"/>
  <c r="L42" i="34"/>
  <c r="N42" i="34" s="1"/>
  <c r="P31" i="16"/>
  <c r="X27" i="16"/>
  <c r="P93" i="25"/>
  <c r="X31" i="25"/>
  <c r="Z31" i="25" s="1"/>
  <c r="T83" i="51"/>
  <c r="V79" i="51"/>
  <c r="L27" i="50"/>
  <c r="D31" i="50"/>
  <c r="T119" i="67"/>
  <c r="V116" i="67"/>
  <c r="P25" i="72"/>
  <c r="X19" i="72"/>
  <c r="Z19" i="72" s="1"/>
  <c r="T66" i="87"/>
  <c r="T101" i="9"/>
  <c r="Z97" i="9"/>
  <c r="D36" i="35"/>
  <c r="R31" i="51"/>
  <c r="H61" i="61"/>
  <c r="N57" i="61"/>
  <c r="H83" i="69"/>
  <c r="N79" i="69"/>
  <c r="J79" i="69"/>
  <c r="H124" i="36"/>
  <c r="N120" i="36"/>
  <c r="J120" i="36"/>
  <c r="R20" i="71"/>
  <c r="X27" i="4"/>
  <c r="P31" i="4"/>
  <c r="T31" i="10"/>
  <c r="Z27" i="10"/>
  <c r="L27" i="16"/>
  <c r="D31" i="16"/>
  <c r="X56" i="18"/>
  <c r="Z56" i="18" s="1"/>
  <c r="P159" i="18"/>
  <c r="D74" i="57"/>
  <c r="H32" i="72"/>
  <c r="J29" i="72"/>
  <c r="X28" i="85"/>
  <c r="P32" i="85"/>
  <c r="D28" i="89"/>
  <c r="L24" i="89"/>
  <c r="D159" i="18"/>
  <c r="L56" i="18"/>
  <c r="N56" i="18" s="1"/>
  <c r="Z27" i="16"/>
  <c r="T31" i="16"/>
  <c r="D31" i="24"/>
  <c r="L27" i="24"/>
  <c r="X27" i="10"/>
  <c r="P31" i="10"/>
  <c r="H107" i="45"/>
  <c r="J104" i="45"/>
  <c r="P117" i="42"/>
  <c r="X113" i="42"/>
  <c r="R113" i="42"/>
  <c r="T31" i="37"/>
  <c r="X31" i="37" s="1"/>
  <c r="Z27" i="37"/>
  <c r="N77" i="58"/>
  <c r="H81" i="58"/>
  <c r="N59" i="87"/>
  <c r="H63" i="87"/>
  <c r="Z27" i="33"/>
  <c r="T31" i="33"/>
  <c r="H31" i="29"/>
  <c r="L31" i="29" s="1"/>
  <c r="N27" i="29"/>
  <c r="N67" i="59"/>
  <c r="H71" i="59"/>
  <c r="P59" i="64"/>
  <c r="X22" i="64"/>
  <c r="T95" i="88"/>
  <c r="V91" i="88"/>
  <c r="Z35" i="80"/>
  <c r="D40" i="86"/>
  <c r="L36" i="86"/>
  <c r="N36" i="86" s="1"/>
  <c r="F36" i="86"/>
  <c r="H79" i="92"/>
  <c r="J75" i="92"/>
  <c r="Z113" i="42"/>
  <c r="T117" i="42"/>
  <c r="V113" i="42"/>
  <c r="H63" i="64"/>
  <c r="Z27" i="41"/>
  <c r="T31" i="41"/>
  <c r="X31" i="41" s="1"/>
  <c r="H35" i="80"/>
  <c r="Z27" i="17"/>
  <c r="T31" i="17"/>
  <c r="Z27" i="38"/>
  <c r="T31" i="38"/>
  <c r="T74" i="59"/>
  <c r="D86" i="63"/>
  <c r="L30" i="63"/>
  <c r="N30" i="63" s="1"/>
  <c r="D92" i="83"/>
  <c r="L88" i="83"/>
  <c r="N88" i="83" s="1"/>
  <c r="P31" i="33"/>
  <c r="X27" i="33"/>
  <c r="P104" i="45"/>
  <c r="X100" i="45"/>
  <c r="Z100" i="45" s="1"/>
  <c r="R100" i="45"/>
  <c r="T84" i="58"/>
  <c r="N78" i="78"/>
  <c r="H82" i="78"/>
  <c r="H97" i="90"/>
  <c r="N93" i="90"/>
  <c r="J93" i="90"/>
  <c r="X27" i="8"/>
  <c r="P31" i="8"/>
  <c r="P31" i="17"/>
  <c r="X27" i="17"/>
  <c r="D75" i="31"/>
  <c r="L23" i="31"/>
  <c r="N23" i="31" s="1"/>
  <c r="L75" i="48"/>
  <c r="D79" i="48"/>
  <c r="F75" i="48"/>
  <c r="T32" i="85"/>
  <c r="Z28" i="85"/>
  <c r="P31" i="95"/>
  <c r="X27" i="95"/>
  <c r="T82" i="48"/>
  <c r="V79" i="48"/>
  <c r="R23" i="76"/>
  <c r="H36" i="16"/>
  <c r="N36" i="16" s="1"/>
  <c r="N31" i="16"/>
  <c r="P36" i="37"/>
  <c r="H82" i="68"/>
  <c r="J79" i="68"/>
  <c r="P93" i="65"/>
  <c r="X31" i="65"/>
  <c r="Z31" i="65" s="1"/>
  <c r="T180" i="3"/>
  <c r="V176" i="3"/>
  <c r="X27" i="29"/>
  <c r="P31" i="29"/>
  <c r="L27" i="41"/>
  <c r="D31" i="41"/>
  <c r="D59" i="64"/>
  <c r="L22" i="64"/>
  <c r="H71" i="57"/>
  <c r="L71" i="57" s="1"/>
  <c r="N67" i="57"/>
  <c r="H79" i="71"/>
  <c r="J75" i="71"/>
  <c r="T31" i="11"/>
  <c r="Z27" i="11"/>
  <c r="X27" i="11"/>
  <c r="L27" i="38"/>
  <c r="D31" i="38"/>
  <c r="L78" i="78"/>
  <c r="T100" i="76"/>
  <c r="V97" i="76"/>
  <c r="H95" i="88"/>
  <c r="J91" i="88"/>
  <c r="D31" i="94"/>
  <c r="L27" i="94"/>
  <c r="N26" i="6"/>
  <c r="H31" i="6"/>
  <c r="H101" i="9"/>
  <c r="N97" i="9"/>
  <c r="L97" i="9"/>
  <c r="T38" i="55"/>
  <c r="T31" i="6"/>
  <c r="Z26" i="6"/>
  <c r="H31" i="13"/>
  <c r="N27" i="13"/>
  <c r="H31" i="10"/>
  <c r="N27" i="10"/>
  <c r="T163" i="18"/>
  <c r="V159" i="18"/>
  <c r="P151" i="15"/>
  <c r="X50" i="15"/>
  <c r="Z50" i="15" s="1"/>
  <c r="N27" i="32"/>
  <c r="H31" i="32"/>
  <c r="H38" i="55"/>
  <c r="P71" i="59"/>
  <c r="X67" i="59"/>
  <c r="Z67" i="59" s="1"/>
  <c r="H92" i="73"/>
  <c r="J88" i="73"/>
  <c r="D33" i="77"/>
  <c r="L30" i="77"/>
  <c r="D66" i="87"/>
  <c r="L63" i="87"/>
  <c r="X24" i="89"/>
  <c r="P28" i="89"/>
  <c r="N27" i="46"/>
  <c r="H31" i="46"/>
  <c r="D26" i="6"/>
  <c r="L22" i="6"/>
  <c r="X27" i="27"/>
  <c r="P31" i="27"/>
  <c r="N27" i="41"/>
  <c r="H31" i="41"/>
  <c r="Z27" i="52"/>
  <c r="T31" i="52"/>
  <c r="D88" i="73"/>
  <c r="L21" i="73"/>
  <c r="N21" i="73" s="1"/>
  <c r="H36" i="75"/>
  <c r="N32" i="75"/>
  <c r="J32" i="75"/>
  <c r="D57" i="84"/>
  <c r="L53" i="84"/>
  <c r="N53" i="84" s="1"/>
  <c r="T31" i="13"/>
  <c r="Z27" i="13"/>
  <c r="X27" i="13"/>
  <c r="D36" i="27"/>
  <c r="P26" i="54"/>
  <c r="X22" i="54"/>
  <c r="X75" i="56"/>
  <c r="Z75" i="56" s="1"/>
  <c r="P79" i="56"/>
  <c r="P112" i="67"/>
  <c r="X40" i="67"/>
  <c r="Z40" i="67" s="1"/>
  <c r="X35" i="81"/>
  <c r="D79" i="92"/>
  <c r="L75" i="92"/>
  <c r="N75" i="92" s="1"/>
  <c r="F75" i="92"/>
  <c r="D36" i="29"/>
  <c r="X56" i="12"/>
  <c r="Z56" i="12" s="1"/>
  <c r="P160" i="12"/>
  <c r="H31" i="17"/>
  <c r="N27" i="17"/>
  <c r="L27" i="17"/>
  <c r="T100" i="25"/>
  <c r="V97" i="25"/>
  <c r="T31" i="24"/>
  <c r="Z27" i="24"/>
  <c r="T31" i="46"/>
  <c r="Z27" i="46"/>
  <c r="P36" i="47"/>
  <c r="X36" i="47" s="1"/>
  <c r="X31" i="47"/>
  <c r="Z88" i="83"/>
  <c r="T92" i="83"/>
  <c r="V88" i="83"/>
  <c r="P79" i="92"/>
  <c r="X75" i="92"/>
  <c r="Z75" i="92" s="1"/>
  <c r="R75" i="92"/>
  <c r="N27" i="43"/>
  <c r="H31" i="43"/>
  <c r="L27" i="43"/>
  <c r="D31" i="43"/>
  <c r="H108" i="62"/>
  <c r="N105" i="62"/>
  <c r="D85" i="78"/>
  <c r="L82" i="78"/>
  <c r="D91" i="88"/>
  <c r="L23" i="88"/>
  <c r="N23" i="88" s="1"/>
  <c r="H31" i="19"/>
  <c r="L31" i="19" s="1"/>
  <c r="N27" i="19"/>
  <c r="D38" i="55"/>
  <c r="L38" i="55" s="1"/>
  <c r="L35" i="55"/>
  <c r="N35" i="55" s="1"/>
  <c r="P97" i="90"/>
  <c r="X93" i="90"/>
  <c r="Z93" i="90" s="1"/>
  <c r="R93" i="90"/>
  <c r="H31" i="94"/>
  <c r="N27" i="94"/>
  <c r="D31" i="37"/>
  <c r="L27" i="37"/>
  <c r="H31" i="30"/>
  <c r="N27" i="30"/>
  <c r="H95" i="83"/>
  <c r="J92" i="83"/>
  <c r="T36" i="23"/>
  <c r="Z36" i="23" s="1"/>
  <c r="Z31" i="23"/>
  <c r="D84" i="58"/>
  <c r="L81" i="58"/>
  <c r="D112" i="67"/>
  <c r="L40" i="67"/>
  <c r="N40" i="67" s="1"/>
  <c r="N93" i="76"/>
  <c r="H97" i="76"/>
  <c r="J93" i="76"/>
  <c r="X23" i="82"/>
  <c r="Z23" i="82" s="1"/>
  <c r="P95" i="82"/>
  <c r="D100" i="90"/>
  <c r="L97" i="90"/>
  <c r="F97" i="90"/>
  <c r="N27" i="11"/>
  <c r="H31" i="11"/>
  <c r="D36" i="19"/>
  <c r="F40" i="67"/>
  <c r="L31" i="65"/>
  <c r="N31" i="65" s="1"/>
  <c r="D93" i="65"/>
  <c r="T29" i="72"/>
  <c r="V25" i="72"/>
  <c r="D35" i="80"/>
  <c r="L35" i="80" s="1"/>
  <c r="L32" i="80"/>
  <c r="N32" i="80" s="1"/>
  <c r="H99" i="91"/>
  <c r="J96" i="91"/>
  <c r="L27" i="26"/>
  <c r="D31" i="26"/>
  <c r="H94" i="74"/>
  <c r="N90" i="74"/>
  <c r="J90" i="74"/>
  <c r="H180" i="3"/>
  <c r="J176" i="3"/>
  <c r="P31" i="14"/>
  <c r="X27" i="14"/>
  <c r="D36" i="20"/>
  <c r="R50" i="15"/>
  <c r="H31" i="23"/>
  <c r="N27" i="23"/>
  <c r="H31" i="35"/>
  <c r="L31" i="35" s="1"/>
  <c r="N27" i="35"/>
  <c r="N27" i="40"/>
  <c r="H31" i="40"/>
  <c r="L67" i="59"/>
  <c r="D71" i="59"/>
  <c r="R19" i="72"/>
  <c r="P57" i="84"/>
  <c r="X53" i="84"/>
  <c r="H79" i="56"/>
  <c r="N75" i="56"/>
  <c r="D160" i="12"/>
  <c r="L56" i="12"/>
  <c r="N56" i="12" s="1"/>
  <c r="P31" i="23"/>
  <c r="X27" i="23"/>
  <c r="H31" i="22"/>
  <c r="L31" i="22" s="1"/>
  <c r="N27" i="22"/>
  <c r="T31" i="54"/>
  <c r="Z26" i="54"/>
  <c r="R56" i="18"/>
  <c r="H117" i="42"/>
  <c r="J113" i="42"/>
  <c r="H116" i="67"/>
  <c r="J112" i="67"/>
  <c r="D31" i="8"/>
  <c r="L27" i="8"/>
  <c r="D31" i="4"/>
  <c r="L27" i="4"/>
  <c r="H36" i="38"/>
  <c r="N36" i="38" s="1"/>
  <c r="N31" i="38"/>
  <c r="P31" i="38"/>
  <c r="X27" i="38"/>
  <c r="D104" i="45"/>
  <c r="L100" i="45"/>
  <c r="N100" i="45" s="1"/>
  <c r="F100" i="45"/>
  <c r="L27" i="44"/>
  <c r="D31" i="44"/>
  <c r="F23" i="68"/>
  <c r="P33" i="77"/>
  <c r="X33" i="77" s="1"/>
  <c r="X30" i="77"/>
  <c r="T31" i="4"/>
  <c r="Z27" i="4"/>
  <c r="H79" i="31"/>
  <c r="J75" i="31"/>
  <c r="X25" i="39"/>
  <c r="Z25" i="39" s="1"/>
  <c r="P116" i="39"/>
  <c r="P61" i="61"/>
  <c r="X57" i="61"/>
  <c r="Z57" i="61" s="1"/>
  <c r="T97" i="65"/>
  <c r="V93" i="65"/>
  <c r="H99" i="82"/>
  <c r="J95" i="82"/>
  <c r="D32" i="85"/>
  <c r="L28" i="85"/>
  <c r="N28" i="85" s="1"/>
  <c r="T82" i="31"/>
  <c r="V79" i="31"/>
  <c r="P75" i="31"/>
  <c r="X23" i="31"/>
  <c r="Z23" i="31" s="1"/>
  <c r="T124" i="36"/>
  <c r="V120" i="36"/>
  <c r="T82" i="78"/>
  <c r="Z78" i="78"/>
  <c r="L36" i="5" l="1"/>
  <c r="X31" i="19"/>
  <c r="H36" i="95"/>
  <c r="N36" i="95" s="1"/>
  <c r="N31" i="95"/>
  <c r="D36" i="49"/>
  <c r="L36" i="49" s="1"/>
  <c r="L31" i="49"/>
  <c r="P36" i="22"/>
  <c r="X36" i="22" s="1"/>
  <c r="X31" i="22"/>
  <c r="T36" i="13"/>
  <c r="Z31" i="13"/>
  <c r="X31" i="13"/>
  <c r="H104" i="9"/>
  <c r="L101" i="9"/>
  <c r="N101" i="9" s="1"/>
  <c r="L31" i="11"/>
  <c r="D36" i="11"/>
  <c r="D36" i="52"/>
  <c r="L36" i="52" s="1"/>
  <c r="L31" i="52"/>
  <c r="V131" i="28"/>
  <c r="D43" i="86"/>
  <c r="L40" i="86"/>
  <c r="N40" i="86" s="1"/>
  <c r="F40" i="86"/>
  <c r="P108" i="62"/>
  <c r="X108" i="62" s="1"/>
  <c r="X105" i="62"/>
  <c r="Z105" i="62" s="1"/>
  <c r="H36" i="4"/>
  <c r="N36" i="4" s="1"/>
  <c r="N31" i="4"/>
  <c r="P95" i="88"/>
  <c r="X91" i="88"/>
  <c r="Z91" i="88" s="1"/>
  <c r="R91" i="88"/>
  <c r="L32" i="81"/>
  <c r="D35" i="81"/>
  <c r="T36" i="4"/>
  <c r="Z36" i="4" s="1"/>
  <c r="Z31" i="4"/>
  <c r="D107" i="45"/>
  <c r="L104" i="45"/>
  <c r="N104" i="45" s="1"/>
  <c r="F104" i="45"/>
  <c r="D36" i="8"/>
  <c r="L31" i="8"/>
  <c r="H120" i="42"/>
  <c r="J117" i="42"/>
  <c r="P36" i="23"/>
  <c r="X36" i="23" s="1"/>
  <c r="X31" i="23"/>
  <c r="D74" i="59"/>
  <c r="L71" i="59"/>
  <c r="D36" i="37"/>
  <c r="L36" i="37" s="1"/>
  <c r="L31" i="37"/>
  <c r="Z31" i="46"/>
  <c r="T36" i="46"/>
  <c r="Z36" i="46" s="1"/>
  <c r="H36" i="17"/>
  <c r="N31" i="17"/>
  <c r="L31" i="17"/>
  <c r="D60" i="84"/>
  <c r="L60" i="84" s="1"/>
  <c r="N60" i="84" s="1"/>
  <c r="L57" i="84"/>
  <c r="N57" i="84" s="1"/>
  <c r="N31" i="41"/>
  <c r="H36" i="41"/>
  <c r="N36" i="41" s="1"/>
  <c r="P31" i="89"/>
  <c r="X28" i="89"/>
  <c r="H95" i="73"/>
  <c r="J92" i="73"/>
  <c r="P155" i="15"/>
  <c r="X151" i="15"/>
  <c r="Z151" i="15" s="1"/>
  <c r="R151" i="15"/>
  <c r="D36" i="41"/>
  <c r="L36" i="41" s="1"/>
  <c r="L31" i="41"/>
  <c r="T185" i="3"/>
  <c r="V180" i="3"/>
  <c r="P36" i="17"/>
  <c r="X31" i="17"/>
  <c r="L92" i="83"/>
  <c r="N92" i="83" s="1"/>
  <c r="D95" i="83"/>
  <c r="L95" i="83" s="1"/>
  <c r="T120" i="42"/>
  <c r="V117" i="42"/>
  <c r="J107" i="45"/>
  <c r="D163" i="18"/>
  <c r="L159" i="18"/>
  <c r="N159" i="18" s="1"/>
  <c r="F159" i="18"/>
  <c r="P36" i="4"/>
  <c r="X31" i="4"/>
  <c r="H86" i="69"/>
  <c r="J83" i="69"/>
  <c r="H37" i="79"/>
  <c r="P83" i="69"/>
  <c r="X79" i="69"/>
  <c r="Z79" i="69" s="1"/>
  <c r="R79" i="69"/>
  <c r="X81" i="58"/>
  <c r="Z81" i="58" s="1"/>
  <c r="P84" i="58"/>
  <c r="X84" i="58" s="1"/>
  <c r="D36" i="32"/>
  <c r="L31" i="32"/>
  <c r="H36" i="24"/>
  <c r="N36" i="24" s="1"/>
  <c r="N31" i="24"/>
  <c r="X31" i="46"/>
  <c r="T102" i="82"/>
  <c r="V99" i="82"/>
  <c r="P36" i="49"/>
  <c r="X36" i="49" s="1"/>
  <c r="X31" i="49"/>
  <c r="P96" i="91"/>
  <c r="X92" i="91"/>
  <c r="Z92" i="91" s="1"/>
  <c r="R92" i="91"/>
  <c r="L31" i="46"/>
  <c r="D36" i="46"/>
  <c r="Z108" i="62"/>
  <c r="H82" i="48"/>
  <c r="J79" i="48"/>
  <c r="X57" i="84"/>
  <c r="Z57" i="84" s="1"/>
  <c r="P60" i="84"/>
  <c r="T36" i="52"/>
  <c r="Z36" i="52" s="1"/>
  <c r="Z31" i="52"/>
  <c r="P36" i="33"/>
  <c r="X31" i="33"/>
  <c r="T82" i="68"/>
  <c r="V79" i="68"/>
  <c r="T36" i="40"/>
  <c r="Z31" i="40"/>
  <c r="X31" i="40"/>
  <c r="J123" i="39"/>
  <c r="T100" i="65"/>
  <c r="V97" i="65"/>
  <c r="V100" i="76"/>
  <c r="Z31" i="17"/>
  <c r="T36" i="17"/>
  <c r="Z36" i="17" s="1"/>
  <c r="D36" i="50"/>
  <c r="L31" i="50"/>
  <c r="Z31" i="94"/>
  <c r="T36" i="94"/>
  <c r="Z36" i="94" s="1"/>
  <c r="P82" i="92"/>
  <c r="X79" i="92"/>
  <c r="Z79" i="92" s="1"/>
  <c r="R79" i="92"/>
  <c r="P164" i="12"/>
  <c r="X160" i="12"/>
  <c r="Z160" i="12" s="1"/>
  <c r="R160" i="12"/>
  <c r="P31" i="54"/>
  <c r="X31" i="54" s="1"/>
  <c r="X26" i="54"/>
  <c r="H82" i="71"/>
  <c r="J79" i="71"/>
  <c r="T35" i="85"/>
  <c r="P36" i="8"/>
  <c r="X31" i="8"/>
  <c r="Z84" i="58"/>
  <c r="P36" i="10"/>
  <c r="X31" i="10"/>
  <c r="X36" i="86"/>
  <c r="Z36" i="86" s="1"/>
  <c r="P40" i="86"/>
  <c r="R36" i="86"/>
  <c r="X31" i="6"/>
  <c r="Z31" i="6" s="1"/>
  <c r="H43" i="86"/>
  <c r="P104" i="9"/>
  <c r="X104" i="9" s="1"/>
  <c r="X101" i="9"/>
  <c r="T36" i="26"/>
  <c r="Z31" i="26"/>
  <c r="X31" i="26"/>
  <c r="D36" i="30"/>
  <c r="L31" i="30"/>
  <c r="T123" i="39"/>
  <c r="V120" i="39"/>
  <c r="V100" i="90"/>
  <c r="D36" i="53"/>
  <c r="L31" i="53"/>
  <c r="P82" i="68"/>
  <c r="X79" i="68"/>
  <c r="Z79" i="68" s="1"/>
  <c r="R79" i="68"/>
  <c r="P36" i="20"/>
  <c r="X36" i="20" s="1"/>
  <c r="X31" i="20"/>
  <c r="Z31" i="30"/>
  <c r="T36" i="30"/>
  <c r="X31" i="30"/>
  <c r="T99" i="91"/>
  <c r="V96" i="91"/>
  <c r="N31" i="44"/>
  <c r="H36" i="44"/>
  <c r="N36" i="44" s="1"/>
  <c r="P82" i="56"/>
  <c r="X82" i="56" s="1"/>
  <c r="Z82" i="56" s="1"/>
  <c r="X79" i="56"/>
  <c r="Z79" i="56" s="1"/>
  <c r="J99" i="91"/>
  <c r="H84" i="58"/>
  <c r="N81" i="58"/>
  <c r="T104" i="9"/>
  <c r="Z101" i="9"/>
  <c r="P66" i="87"/>
  <c r="X66" i="87" s="1"/>
  <c r="Z66" i="87" s="1"/>
  <c r="X63" i="87"/>
  <c r="Z63" i="87" s="1"/>
  <c r="D35" i="85"/>
  <c r="L35" i="85" s="1"/>
  <c r="N35" i="85" s="1"/>
  <c r="L32" i="85"/>
  <c r="N32" i="85" s="1"/>
  <c r="P64" i="61"/>
  <c r="X61" i="61"/>
  <c r="P36" i="38"/>
  <c r="X31" i="38"/>
  <c r="D164" i="12"/>
  <c r="L160" i="12"/>
  <c r="N160" i="12" s="1"/>
  <c r="F160" i="12"/>
  <c r="H36" i="40"/>
  <c r="N36" i="40" s="1"/>
  <c r="N31" i="40"/>
  <c r="H97" i="74"/>
  <c r="J94" i="74"/>
  <c r="N31" i="11"/>
  <c r="H36" i="11"/>
  <c r="N36" i="11" s="1"/>
  <c r="H100" i="76"/>
  <c r="J97" i="76"/>
  <c r="H36" i="94"/>
  <c r="N36" i="94" s="1"/>
  <c r="N31" i="94"/>
  <c r="D36" i="43"/>
  <c r="L31" i="43"/>
  <c r="Z31" i="24"/>
  <c r="T36" i="24"/>
  <c r="Z36" i="24" s="1"/>
  <c r="D82" i="92"/>
  <c r="L79" i="92"/>
  <c r="F79" i="92"/>
  <c r="P36" i="27"/>
  <c r="X36" i="27" s="1"/>
  <c r="X31" i="27"/>
  <c r="X71" i="59"/>
  <c r="Z71" i="59" s="1"/>
  <c r="P74" i="59"/>
  <c r="X74" i="59" s="1"/>
  <c r="L31" i="94"/>
  <c r="D36" i="94"/>
  <c r="D36" i="38"/>
  <c r="L36" i="38" s="1"/>
  <c r="L31" i="38"/>
  <c r="P36" i="29"/>
  <c r="X36" i="29" s="1"/>
  <c r="X31" i="29"/>
  <c r="P97" i="65"/>
  <c r="X93" i="65"/>
  <c r="Z93" i="65" s="1"/>
  <c r="R93" i="65"/>
  <c r="L86" i="63"/>
  <c r="N86" i="63" s="1"/>
  <c r="D90" i="63"/>
  <c r="F86" i="63"/>
  <c r="N35" i="80"/>
  <c r="H36" i="29"/>
  <c r="N36" i="29" s="1"/>
  <c r="N31" i="29"/>
  <c r="T36" i="37"/>
  <c r="Z36" i="37" s="1"/>
  <c r="Z31" i="37"/>
  <c r="D31" i="89"/>
  <c r="L31" i="89" s="1"/>
  <c r="L28" i="89"/>
  <c r="P163" i="18"/>
  <c r="X159" i="18"/>
  <c r="Z159" i="18" s="1"/>
  <c r="R159" i="18"/>
  <c r="N61" i="61"/>
  <c r="H64" i="61"/>
  <c r="T86" i="51"/>
  <c r="V83" i="51"/>
  <c r="V39" i="75"/>
  <c r="T136" i="34"/>
  <c r="V133" i="34"/>
  <c r="H93" i="63"/>
  <c r="J90" i="63"/>
  <c r="H86" i="51"/>
  <c r="J83" i="51"/>
  <c r="D86" i="69"/>
  <c r="L83" i="69"/>
  <c r="N83" i="69" s="1"/>
  <c r="F83" i="69"/>
  <c r="T158" i="15"/>
  <c r="V155" i="15"/>
  <c r="P36" i="24"/>
  <c r="X31" i="24"/>
  <c r="P90" i="63"/>
  <c r="X86" i="63"/>
  <c r="Z86" i="63" s="1"/>
  <c r="R86" i="63"/>
  <c r="L61" i="61"/>
  <c r="D97" i="74"/>
  <c r="L94" i="74"/>
  <c r="N94" i="74" s="1"/>
  <c r="F94" i="74"/>
  <c r="P97" i="74"/>
  <c r="X94" i="74"/>
  <c r="R94" i="74"/>
  <c r="P95" i="73"/>
  <c r="X92" i="73"/>
  <c r="R92" i="73"/>
  <c r="V93" i="63"/>
  <c r="D127" i="36"/>
  <c r="L124" i="36"/>
  <c r="F124" i="36"/>
  <c r="D36" i="33"/>
  <c r="L31" i="33"/>
  <c r="L36" i="75"/>
  <c r="D39" i="75"/>
  <c r="L39" i="75" s="1"/>
  <c r="P95" i="83"/>
  <c r="X92" i="83"/>
  <c r="P36" i="53"/>
  <c r="X31" i="53"/>
  <c r="L128" i="28"/>
  <c r="D131" i="28"/>
  <c r="F128" i="28"/>
  <c r="D36" i="40"/>
  <c r="L31" i="40"/>
  <c r="H131" i="28"/>
  <c r="N128" i="28"/>
  <c r="J128" i="28"/>
  <c r="D99" i="82"/>
  <c r="L95" i="82"/>
  <c r="N95" i="82" s="1"/>
  <c r="F95" i="82"/>
  <c r="H136" i="34"/>
  <c r="J133" i="34"/>
  <c r="T102" i="21"/>
  <c r="V99" i="21"/>
  <c r="H82" i="31"/>
  <c r="J79" i="31"/>
  <c r="N31" i="22"/>
  <c r="H36" i="22"/>
  <c r="N36" i="22" s="1"/>
  <c r="F100" i="90"/>
  <c r="N82" i="78"/>
  <c r="H85" i="78"/>
  <c r="H36" i="33"/>
  <c r="N36" i="33" s="1"/>
  <c r="N31" i="33"/>
  <c r="T36" i="50"/>
  <c r="Z36" i="50" s="1"/>
  <c r="Z31" i="50"/>
  <c r="P36" i="50"/>
  <c r="X31" i="50"/>
  <c r="P83" i="51"/>
  <c r="X79" i="51"/>
  <c r="Z79" i="51" s="1"/>
  <c r="R79" i="51"/>
  <c r="T36" i="43"/>
  <c r="Z36" i="43" s="1"/>
  <c r="Z31" i="43"/>
  <c r="H36" i="23"/>
  <c r="N36" i="23" s="1"/>
  <c r="N31" i="23"/>
  <c r="N31" i="13"/>
  <c r="H36" i="13"/>
  <c r="N36" i="13" s="1"/>
  <c r="P36" i="95"/>
  <c r="X31" i="95"/>
  <c r="T36" i="10"/>
  <c r="Z36" i="10" s="1"/>
  <c r="Z31" i="10"/>
  <c r="H36" i="8"/>
  <c r="N36" i="8" s="1"/>
  <c r="N31" i="8"/>
  <c r="T127" i="36"/>
  <c r="V124" i="36"/>
  <c r="Z31" i="54"/>
  <c r="D36" i="26"/>
  <c r="L31" i="26"/>
  <c r="N95" i="83"/>
  <c r="J95" i="83"/>
  <c r="N31" i="19"/>
  <c r="H36" i="19"/>
  <c r="N36" i="19" s="1"/>
  <c r="Z92" i="83"/>
  <c r="T95" i="83"/>
  <c r="V92" i="83"/>
  <c r="H39" i="75"/>
  <c r="N36" i="75"/>
  <c r="J36" i="75"/>
  <c r="T166" i="18"/>
  <c r="V163" i="18"/>
  <c r="D82" i="48"/>
  <c r="L79" i="48"/>
  <c r="N79" i="48" s="1"/>
  <c r="F79" i="48"/>
  <c r="T36" i="41"/>
  <c r="Z36" i="41" s="1"/>
  <c r="Z31" i="41"/>
  <c r="T98" i="88"/>
  <c r="V95" i="88"/>
  <c r="T36" i="33"/>
  <c r="Z36" i="33" s="1"/>
  <c r="Z31" i="33"/>
  <c r="P35" i="85"/>
  <c r="X35" i="85" s="1"/>
  <c r="X32" i="85"/>
  <c r="Z32" i="85" s="1"/>
  <c r="P29" i="72"/>
  <c r="X25" i="72"/>
  <c r="Z25" i="72" s="1"/>
  <c r="R25" i="72"/>
  <c r="P36" i="7"/>
  <c r="X36" i="7" s="1"/>
  <c r="X31" i="7"/>
  <c r="P124" i="36"/>
  <c r="X120" i="36"/>
  <c r="Z120" i="36" s="1"/>
  <c r="R120" i="36"/>
  <c r="T43" i="86"/>
  <c r="L64" i="61"/>
  <c r="P79" i="71"/>
  <c r="X75" i="71"/>
  <c r="Z75" i="71" s="1"/>
  <c r="R75" i="71"/>
  <c r="H35" i="81"/>
  <c r="N35" i="81" s="1"/>
  <c r="N32" i="81"/>
  <c r="P36" i="43"/>
  <c r="X31" i="43"/>
  <c r="T36" i="8"/>
  <c r="Z36" i="8" s="1"/>
  <c r="Z31" i="8"/>
  <c r="H100" i="65"/>
  <c r="J97" i="65"/>
  <c r="N31" i="93"/>
  <c r="H36" i="93"/>
  <c r="N36" i="93" s="1"/>
  <c r="P39" i="75"/>
  <c r="X36" i="75"/>
  <c r="Z36" i="75" s="1"/>
  <c r="R36" i="75"/>
  <c r="T167" i="12"/>
  <c r="V164" i="12"/>
  <c r="V82" i="71"/>
  <c r="H36" i="14"/>
  <c r="N36" i="14" s="1"/>
  <c r="N31" i="14"/>
  <c r="D79" i="68"/>
  <c r="L75" i="68"/>
  <c r="N75" i="68" s="1"/>
  <c r="F75" i="68"/>
  <c r="P128" i="28"/>
  <c r="X124" i="28"/>
  <c r="Z124" i="28" s="1"/>
  <c r="R124" i="28"/>
  <c r="T86" i="69"/>
  <c r="V83" i="69"/>
  <c r="T107" i="45"/>
  <c r="Z104" i="45"/>
  <c r="V104" i="45"/>
  <c r="Z92" i="73"/>
  <c r="T95" i="73"/>
  <c r="V92" i="73"/>
  <c r="D36" i="4"/>
  <c r="L31" i="4"/>
  <c r="H185" i="3"/>
  <c r="J180" i="3"/>
  <c r="H36" i="30"/>
  <c r="N36" i="30" s="1"/>
  <c r="N31" i="30"/>
  <c r="V119" i="67"/>
  <c r="P97" i="76"/>
  <c r="X93" i="76"/>
  <c r="Z93" i="76" s="1"/>
  <c r="R93" i="76"/>
  <c r="P37" i="79"/>
  <c r="X37" i="79" s="1"/>
  <c r="X34" i="79"/>
  <c r="Z34" i="79" s="1"/>
  <c r="T60" i="84"/>
  <c r="P36" i="52"/>
  <c r="X31" i="52"/>
  <c r="T85" i="78"/>
  <c r="P99" i="82"/>
  <c r="X95" i="82"/>
  <c r="Z95" i="82" s="1"/>
  <c r="R95" i="82"/>
  <c r="J32" i="72"/>
  <c r="D36" i="95"/>
  <c r="L31" i="95"/>
  <c r="T65" i="60"/>
  <c r="D102" i="21"/>
  <c r="L99" i="21"/>
  <c r="N99" i="21" s="1"/>
  <c r="F99" i="21"/>
  <c r="H102" i="21"/>
  <c r="J99" i="21"/>
  <c r="L116" i="39"/>
  <c r="N116" i="39" s="1"/>
  <c r="D120" i="39"/>
  <c r="F116" i="39"/>
  <c r="D117" i="42"/>
  <c r="L113" i="42"/>
  <c r="N113" i="42" s="1"/>
  <c r="F113" i="42"/>
  <c r="P120" i="39"/>
  <c r="X116" i="39"/>
  <c r="Z116" i="39" s="1"/>
  <c r="R116" i="39"/>
  <c r="H102" i="82"/>
  <c r="J99" i="82"/>
  <c r="P79" i="31"/>
  <c r="X75" i="31"/>
  <c r="Z75" i="31" s="1"/>
  <c r="R75" i="31"/>
  <c r="D36" i="44"/>
  <c r="L31" i="44"/>
  <c r="N79" i="56"/>
  <c r="H82" i="56"/>
  <c r="X31" i="14"/>
  <c r="P36" i="14"/>
  <c r="X36" i="14" s="1"/>
  <c r="T32" i="72"/>
  <c r="V29" i="72"/>
  <c r="H36" i="43"/>
  <c r="N36" i="43" s="1"/>
  <c r="N31" i="43"/>
  <c r="N38" i="55"/>
  <c r="H98" i="88"/>
  <c r="J95" i="88"/>
  <c r="J82" i="68"/>
  <c r="P107" i="45"/>
  <c r="X104" i="45"/>
  <c r="R104" i="45"/>
  <c r="Z74" i="59"/>
  <c r="N79" i="92"/>
  <c r="H82" i="92"/>
  <c r="J79" i="92"/>
  <c r="D36" i="24"/>
  <c r="L31" i="24"/>
  <c r="D36" i="16"/>
  <c r="L36" i="16" s="1"/>
  <c r="L31" i="16"/>
  <c r="D133" i="34"/>
  <c r="L129" i="34"/>
  <c r="N129" i="34" s="1"/>
  <c r="F129" i="34"/>
  <c r="P99" i="21"/>
  <c r="X95" i="21"/>
  <c r="Z95" i="21" s="1"/>
  <c r="R95" i="21"/>
  <c r="D36" i="47"/>
  <c r="L31" i="47"/>
  <c r="D96" i="91"/>
  <c r="L92" i="91"/>
  <c r="N92" i="91" s="1"/>
  <c r="F92" i="91"/>
  <c r="D97" i="25"/>
  <c r="L93" i="25"/>
  <c r="N93" i="25" s="1"/>
  <c r="F93" i="25"/>
  <c r="N31" i="50"/>
  <c r="H36" i="50"/>
  <c r="N36" i="50" s="1"/>
  <c r="Z37" i="79"/>
  <c r="H36" i="47"/>
  <c r="N36" i="47" s="1"/>
  <c r="N31" i="47"/>
  <c r="T36" i="44"/>
  <c r="Z36" i="44" s="1"/>
  <c r="Z31" i="44"/>
  <c r="H36" i="27"/>
  <c r="N36" i="27" s="1"/>
  <c r="N31" i="27"/>
  <c r="L31" i="23"/>
  <c r="N31" i="53"/>
  <c r="H36" i="53"/>
  <c r="N36" i="53" s="1"/>
  <c r="T36" i="95"/>
  <c r="Z36" i="95" s="1"/>
  <c r="Z31" i="95"/>
  <c r="P36" i="94"/>
  <c r="X31" i="94"/>
  <c r="D36" i="13"/>
  <c r="L31" i="13"/>
  <c r="D180" i="3"/>
  <c r="L176" i="3"/>
  <c r="N176" i="3" s="1"/>
  <c r="F176" i="3"/>
  <c r="D79" i="71"/>
  <c r="L75" i="71"/>
  <c r="N75" i="71" s="1"/>
  <c r="F75" i="71"/>
  <c r="H100" i="25"/>
  <c r="J97" i="25"/>
  <c r="H166" i="18"/>
  <c r="J163" i="18"/>
  <c r="T36" i="93"/>
  <c r="Z31" i="93"/>
  <c r="X31" i="93"/>
  <c r="H36" i="46"/>
  <c r="N36" i="46" s="1"/>
  <c r="N31" i="46"/>
  <c r="T36" i="11"/>
  <c r="Z31" i="11"/>
  <c r="X31" i="11"/>
  <c r="D79" i="31"/>
  <c r="L75" i="31"/>
  <c r="N75" i="31" s="1"/>
  <c r="F75" i="31"/>
  <c r="H74" i="59"/>
  <c r="N71" i="59"/>
  <c r="P65" i="60"/>
  <c r="X65" i="60" s="1"/>
  <c r="X62" i="60"/>
  <c r="Z62" i="60" s="1"/>
  <c r="T31" i="89"/>
  <c r="Z31" i="89" s="1"/>
  <c r="Z28" i="89"/>
  <c r="L31" i="10"/>
  <c r="D36" i="10"/>
  <c r="V82" i="31"/>
  <c r="L85" i="78"/>
  <c r="L59" i="64"/>
  <c r="N59" i="64" s="1"/>
  <c r="D63" i="64"/>
  <c r="F59" i="64"/>
  <c r="X31" i="16"/>
  <c r="P36" i="16"/>
  <c r="X82" i="78"/>
  <c r="Z82" i="78" s="1"/>
  <c r="P85" i="78"/>
  <c r="X85" i="78" s="1"/>
  <c r="P82" i="48"/>
  <c r="X79" i="48"/>
  <c r="Z79" i="48" s="1"/>
  <c r="R79" i="48"/>
  <c r="D65" i="60"/>
  <c r="L65" i="60" s="1"/>
  <c r="N65" i="60" s="1"/>
  <c r="L62" i="60"/>
  <c r="N62" i="60" s="1"/>
  <c r="H119" i="67"/>
  <c r="J116" i="67"/>
  <c r="H36" i="35"/>
  <c r="N36" i="35" s="1"/>
  <c r="N31" i="35"/>
  <c r="L93" i="65"/>
  <c r="N93" i="65" s="1"/>
  <c r="D97" i="65"/>
  <c r="F93" i="65"/>
  <c r="L112" i="67"/>
  <c r="N112" i="67" s="1"/>
  <c r="D116" i="67"/>
  <c r="F112" i="67"/>
  <c r="P100" i="90"/>
  <c r="X97" i="90"/>
  <c r="Z97" i="90" s="1"/>
  <c r="R97" i="90"/>
  <c r="D95" i="88"/>
  <c r="L91" i="88"/>
  <c r="N91" i="88" s="1"/>
  <c r="F91" i="88"/>
  <c r="V100" i="25"/>
  <c r="P116" i="67"/>
  <c r="X112" i="67"/>
  <c r="Z112" i="67" s="1"/>
  <c r="R112" i="67"/>
  <c r="D92" i="73"/>
  <c r="L88" i="73"/>
  <c r="N88" i="73" s="1"/>
  <c r="F88" i="73"/>
  <c r="D31" i="6"/>
  <c r="L31" i="6" s="1"/>
  <c r="N31" i="6" s="1"/>
  <c r="L26" i="6"/>
  <c r="H36" i="32"/>
  <c r="N36" i="32" s="1"/>
  <c r="N31" i="32"/>
  <c r="H36" i="10"/>
  <c r="N36" i="10" s="1"/>
  <c r="N31" i="10"/>
  <c r="H74" i="57"/>
  <c r="N71" i="57"/>
  <c r="V82" i="48"/>
  <c r="H100" i="90"/>
  <c r="L100" i="90" s="1"/>
  <c r="N97" i="90"/>
  <c r="J97" i="90"/>
  <c r="T36" i="38"/>
  <c r="Z36" i="38" s="1"/>
  <c r="Z31" i="38"/>
  <c r="H66" i="64"/>
  <c r="P63" i="64"/>
  <c r="X59" i="64"/>
  <c r="Z59" i="64" s="1"/>
  <c r="R59" i="64"/>
  <c r="N63" i="87"/>
  <c r="H66" i="87"/>
  <c r="P120" i="42"/>
  <c r="X117" i="42"/>
  <c r="Z117" i="42" s="1"/>
  <c r="R117" i="42"/>
  <c r="T36" i="16"/>
  <c r="Z36" i="16" s="1"/>
  <c r="Z31" i="16"/>
  <c r="H127" i="36"/>
  <c r="N124" i="36"/>
  <c r="J124" i="36"/>
  <c r="P97" i="25"/>
  <c r="X93" i="25"/>
  <c r="Z93" i="25" s="1"/>
  <c r="R93" i="25"/>
  <c r="N31" i="26"/>
  <c r="H36" i="26"/>
  <c r="N36" i="26" s="1"/>
  <c r="Z61" i="61"/>
  <c r="T64" i="61"/>
  <c r="P180" i="3"/>
  <c r="X176" i="3"/>
  <c r="Z176" i="3" s="1"/>
  <c r="R176" i="3"/>
  <c r="P38" i="55"/>
  <c r="X38" i="55" s="1"/>
  <c r="Z38" i="55" s="1"/>
  <c r="X35" i="55"/>
  <c r="Z35" i="55" s="1"/>
  <c r="P74" i="57"/>
  <c r="X74" i="57" s="1"/>
  <c r="Z74" i="57" s="1"/>
  <c r="X71" i="57"/>
  <c r="Z71" i="57" s="1"/>
  <c r="P136" i="34"/>
  <c r="X133" i="34"/>
  <c r="Z133" i="34" s="1"/>
  <c r="R133" i="34"/>
  <c r="N30" i="77"/>
  <c r="H33" i="77"/>
  <c r="N33" i="77" s="1"/>
  <c r="N26" i="54"/>
  <c r="H31" i="54"/>
  <c r="L31" i="54" s="1"/>
  <c r="P36" i="35"/>
  <c r="X36" i="35" s="1"/>
  <c r="X31" i="35"/>
  <c r="L34" i="79"/>
  <c r="N34" i="79" s="1"/>
  <c r="L97" i="76"/>
  <c r="N97" i="76" s="1"/>
  <c r="D100" i="76"/>
  <c r="F97" i="76"/>
  <c r="J158" i="15"/>
  <c r="T66" i="64"/>
  <c r="V82" i="92"/>
  <c r="T97" i="74"/>
  <c r="Z94" i="74"/>
  <c r="V94" i="74"/>
  <c r="D155" i="15"/>
  <c r="L151" i="15"/>
  <c r="N151" i="15" s="1"/>
  <c r="F151" i="15"/>
  <c r="T36" i="53"/>
  <c r="Z36" i="53" s="1"/>
  <c r="Z31" i="53"/>
  <c r="L79" i="51"/>
  <c r="N79" i="51" s="1"/>
  <c r="D83" i="51"/>
  <c r="F79" i="51"/>
  <c r="D36" i="93"/>
  <c r="L31" i="93"/>
  <c r="H36" i="20"/>
  <c r="N36" i="20" s="1"/>
  <c r="N31" i="20"/>
  <c r="L108" i="62"/>
  <c r="N108" i="62" s="1"/>
  <c r="D32" i="72"/>
  <c r="L29" i="72"/>
  <c r="N29" i="72" s="1"/>
  <c r="F29" i="72"/>
  <c r="X36" i="4" l="1"/>
  <c r="L36" i="40"/>
  <c r="X36" i="46"/>
  <c r="X36" i="24"/>
  <c r="L36" i="13"/>
  <c r="L36" i="47"/>
  <c r="X36" i="52"/>
  <c r="L36" i="93"/>
  <c r="X36" i="43"/>
  <c r="L36" i="95"/>
  <c r="X36" i="44"/>
  <c r="L36" i="33"/>
  <c r="L36" i="29"/>
  <c r="L36" i="10"/>
  <c r="X36" i="94"/>
  <c r="L36" i="24"/>
  <c r="L36" i="23"/>
  <c r="L36" i="4"/>
  <c r="L36" i="11"/>
  <c r="L36" i="35"/>
  <c r="L36" i="44"/>
  <c r="X36" i="38"/>
  <c r="X36" i="41"/>
  <c r="D82" i="68"/>
  <c r="L79" i="68"/>
  <c r="N79" i="68" s="1"/>
  <c r="F79" i="68"/>
  <c r="X95" i="73"/>
  <c r="R95" i="73"/>
  <c r="V123" i="39"/>
  <c r="X136" i="34"/>
  <c r="Z136" i="34" s="1"/>
  <c r="R136" i="34"/>
  <c r="J119" i="67"/>
  <c r="X36" i="16"/>
  <c r="J100" i="25"/>
  <c r="J102" i="82"/>
  <c r="L102" i="21"/>
  <c r="F102" i="21"/>
  <c r="N39" i="75"/>
  <c r="J39" i="75"/>
  <c r="X36" i="50"/>
  <c r="V102" i="21"/>
  <c r="X36" i="53"/>
  <c r="D93" i="63"/>
  <c r="L90" i="63"/>
  <c r="N90" i="63" s="1"/>
  <c r="F90" i="63"/>
  <c r="L36" i="20"/>
  <c r="Z104" i="9"/>
  <c r="X82" i="68"/>
  <c r="R82" i="68"/>
  <c r="V100" i="65"/>
  <c r="Z82" i="68"/>
  <c r="V82" i="68"/>
  <c r="V185" i="3"/>
  <c r="P98" i="88"/>
  <c r="X95" i="88"/>
  <c r="Z95" i="88" s="1"/>
  <c r="R95" i="88"/>
  <c r="L43" i="86"/>
  <c r="N43" i="86" s="1"/>
  <c r="F43" i="86"/>
  <c r="D99" i="91"/>
  <c r="L96" i="91"/>
  <c r="N96" i="91" s="1"/>
  <c r="F96" i="91"/>
  <c r="D120" i="42"/>
  <c r="L117" i="42"/>
  <c r="N117" i="42" s="1"/>
  <c r="F117" i="42"/>
  <c r="N66" i="87"/>
  <c r="D158" i="15"/>
  <c r="L155" i="15"/>
  <c r="N155" i="15" s="1"/>
  <c r="F155" i="15"/>
  <c r="D95" i="73"/>
  <c r="L92" i="73"/>
  <c r="N92" i="73" s="1"/>
  <c r="F92" i="73"/>
  <c r="D123" i="39"/>
  <c r="L120" i="39"/>
  <c r="N120" i="39" s="1"/>
  <c r="F120" i="39"/>
  <c r="Z65" i="60"/>
  <c r="X99" i="82"/>
  <c r="Z99" i="82" s="1"/>
  <c r="P102" i="82"/>
  <c r="R99" i="82"/>
  <c r="Z95" i="73"/>
  <c r="V95" i="73"/>
  <c r="V86" i="69"/>
  <c r="X39" i="75"/>
  <c r="Z39" i="75" s="1"/>
  <c r="R39" i="75"/>
  <c r="V98" i="88"/>
  <c r="L36" i="27"/>
  <c r="L82" i="56"/>
  <c r="N82" i="56" s="1"/>
  <c r="N131" i="28"/>
  <c r="J131" i="28"/>
  <c r="L36" i="14"/>
  <c r="L36" i="94"/>
  <c r="L82" i="92"/>
  <c r="F82" i="92"/>
  <c r="X64" i="61"/>
  <c r="Z64" i="61" s="1"/>
  <c r="L36" i="30"/>
  <c r="X36" i="10"/>
  <c r="J82" i="71"/>
  <c r="L36" i="50"/>
  <c r="J82" i="48"/>
  <c r="P99" i="91"/>
  <c r="X96" i="91"/>
  <c r="Z96" i="91" s="1"/>
  <c r="R96" i="91"/>
  <c r="V120" i="42"/>
  <c r="N36" i="17"/>
  <c r="L36" i="17"/>
  <c r="L107" i="45"/>
  <c r="N107" i="45" s="1"/>
  <c r="F107" i="45"/>
  <c r="X36" i="37"/>
  <c r="V99" i="91"/>
  <c r="J95" i="73"/>
  <c r="J127" i="36"/>
  <c r="D98" i="88"/>
  <c r="L95" i="88"/>
  <c r="N95" i="88" s="1"/>
  <c r="F95" i="88"/>
  <c r="L97" i="65"/>
  <c r="N97" i="65" s="1"/>
  <c r="D100" i="65"/>
  <c r="F97" i="65"/>
  <c r="D82" i="31"/>
  <c r="L79" i="31"/>
  <c r="N79" i="31" s="1"/>
  <c r="F79" i="31"/>
  <c r="Z36" i="93"/>
  <c r="X36" i="93"/>
  <c r="X107" i="45"/>
  <c r="R107" i="45"/>
  <c r="P32" i="72"/>
  <c r="X29" i="72"/>
  <c r="Z29" i="72" s="1"/>
  <c r="R29" i="72"/>
  <c r="L36" i="26"/>
  <c r="L127" i="36"/>
  <c r="N127" i="36" s="1"/>
  <c r="F127" i="36"/>
  <c r="X97" i="74"/>
  <c r="R97" i="74"/>
  <c r="P93" i="63"/>
  <c r="X90" i="63"/>
  <c r="Z90" i="63" s="1"/>
  <c r="R90" i="63"/>
  <c r="L86" i="69"/>
  <c r="F86" i="69"/>
  <c r="V136" i="34"/>
  <c r="V86" i="51"/>
  <c r="J100" i="76"/>
  <c r="Z36" i="30"/>
  <c r="X36" i="30"/>
  <c r="L36" i="53"/>
  <c r="X82" i="92"/>
  <c r="Z82" i="92" s="1"/>
  <c r="R82" i="92"/>
  <c r="P86" i="69"/>
  <c r="X83" i="69"/>
  <c r="Z83" i="69" s="1"/>
  <c r="R83" i="69"/>
  <c r="X31" i="89"/>
  <c r="Z60" i="84"/>
  <c r="V158" i="15"/>
  <c r="P166" i="18"/>
  <c r="X163" i="18"/>
  <c r="Z163" i="18" s="1"/>
  <c r="R163" i="18"/>
  <c r="N97" i="74"/>
  <c r="J97" i="74"/>
  <c r="L74" i="59"/>
  <c r="N74" i="59" s="1"/>
  <c r="N31" i="54"/>
  <c r="D86" i="51"/>
  <c r="L83" i="51"/>
  <c r="N83" i="51" s="1"/>
  <c r="F83" i="51"/>
  <c r="N100" i="90"/>
  <c r="J100" i="90"/>
  <c r="D66" i="64"/>
  <c r="L63" i="64"/>
  <c r="N63" i="64" s="1"/>
  <c r="F63" i="64"/>
  <c r="D82" i="71"/>
  <c r="L79" i="71"/>
  <c r="N79" i="71" s="1"/>
  <c r="F79" i="71"/>
  <c r="Z85" i="78"/>
  <c r="Z95" i="83"/>
  <c r="V95" i="83"/>
  <c r="J136" i="34"/>
  <c r="X95" i="83"/>
  <c r="N64" i="61"/>
  <c r="X36" i="33"/>
  <c r="J120" i="42"/>
  <c r="L104" i="9"/>
  <c r="N104" i="9" s="1"/>
  <c r="X120" i="42"/>
  <c r="Z120" i="42" s="1"/>
  <c r="R120" i="42"/>
  <c r="D119" i="67"/>
  <c r="L116" i="67"/>
  <c r="N116" i="67" s="1"/>
  <c r="F116" i="67"/>
  <c r="D136" i="34"/>
  <c r="L133" i="34"/>
  <c r="N133" i="34" s="1"/>
  <c r="F133" i="34"/>
  <c r="P82" i="71"/>
  <c r="X79" i="71"/>
  <c r="Z79" i="71" s="1"/>
  <c r="R79" i="71"/>
  <c r="J93" i="63"/>
  <c r="L74" i="57"/>
  <c r="N74" i="57" s="1"/>
  <c r="X63" i="64"/>
  <c r="Z63" i="64" s="1"/>
  <c r="P66" i="64"/>
  <c r="R63" i="64"/>
  <c r="L33" i="77"/>
  <c r="P119" i="67"/>
  <c r="X116" i="67"/>
  <c r="Z116" i="67" s="1"/>
  <c r="R116" i="67"/>
  <c r="D100" i="25"/>
  <c r="L97" i="25"/>
  <c r="N97" i="25" s="1"/>
  <c r="F97" i="25"/>
  <c r="P102" i="21"/>
  <c r="X99" i="21"/>
  <c r="Z99" i="21" s="1"/>
  <c r="R99" i="21"/>
  <c r="P123" i="39"/>
  <c r="X120" i="39"/>
  <c r="Z120" i="39" s="1"/>
  <c r="R120" i="39"/>
  <c r="P100" i="76"/>
  <c r="X97" i="76"/>
  <c r="Z97" i="76" s="1"/>
  <c r="R97" i="76"/>
  <c r="P131" i="28"/>
  <c r="X128" i="28"/>
  <c r="Z128" i="28" s="1"/>
  <c r="R128" i="28"/>
  <c r="V166" i="18"/>
  <c r="J86" i="51"/>
  <c r="P100" i="65"/>
  <c r="X97" i="65"/>
  <c r="Z97" i="65" s="1"/>
  <c r="R97" i="65"/>
  <c r="P43" i="86"/>
  <c r="X40" i="86"/>
  <c r="Z40" i="86" s="1"/>
  <c r="R40" i="86"/>
  <c r="X36" i="8"/>
  <c r="L36" i="19"/>
  <c r="D166" i="18"/>
  <c r="L163" i="18"/>
  <c r="N163" i="18" s="1"/>
  <c r="F163" i="18"/>
  <c r="L35" i="81"/>
  <c r="P185" i="3"/>
  <c r="X180" i="3"/>
  <c r="Z180" i="3" s="1"/>
  <c r="R180" i="3"/>
  <c r="D185" i="3"/>
  <c r="L180" i="3"/>
  <c r="N180" i="3" s="1"/>
  <c r="F180" i="3"/>
  <c r="J98" i="88"/>
  <c r="N86" i="69"/>
  <c r="J86" i="69"/>
  <c r="Z36" i="11"/>
  <c r="X36" i="11"/>
  <c r="N82" i="92"/>
  <c r="J82" i="92"/>
  <c r="V32" i="72"/>
  <c r="N102" i="21"/>
  <c r="J102" i="21"/>
  <c r="J185" i="3"/>
  <c r="P127" i="36"/>
  <c r="X124" i="36"/>
  <c r="Z124" i="36" s="1"/>
  <c r="R124" i="36"/>
  <c r="L66" i="87"/>
  <c r="X36" i="95"/>
  <c r="N85" i="78"/>
  <c r="J82" i="31"/>
  <c r="L131" i="28"/>
  <c r="F131" i="28"/>
  <c r="L97" i="74"/>
  <c r="F97" i="74"/>
  <c r="L36" i="43"/>
  <c r="D167" i="12"/>
  <c r="L164" i="12"/>
  <c r="N164" i="12" s="1"/>
  <c r="F164" i="12"/>
  <c r="Z36" i="26"/>
  <c r="X36" i="26"/>
  <c r="Z35" i="85"/>
  <c r="L36" i="46"/>
  <c r="L36" i="32"/>
  <c r="X36" i="17"/>
  <c r="P158" i="15"/>
  <c r="X155" i="15"/>
  <c r="Z155" i="15" s="1"/>
  <c r="R155" i="15"/>
  <c r="P167" i="12"/>
  <c r="X164" i="12"/>
  <c r="Z164" i="12" s="1"/>
  <c r="R164" i="12"/>
  <c r="L32" i="72"/>
  <c r="N32" i="72" s="1"/>
  <c r="F32" i="72"/>
  <c r="Z97" i="74"/>
  <c r="V97" i="74"/>
  <c r="L100" i="76"/>
  <c r="N100" i="76" s="1"/>
  <c r="F100" i="76"/>
  <c r="X100" i="90"/>
  <c r="Z100" i="90" s="1"/>
  <c r="R100" i="90"/>
  <c r="X82" i="48"/>
  <c r="Z82" i="48" s="1"/>
  <c r="R82" i="48"/>
  <c r="J166" i="18"/>
  <c r="P100" i="25"/>
  <c r="X97" i="25"/>
  <c r="Z97" i="25" s="1"/>
  <c r="R97" i="25"/>
  <c r="P82" i="31"/>
  <c r="X79" i="31"/>
  <c r="Z79" i="31" s="1"/>
  <c r="R79" i="31"/>
  <c r="Z107" i="45"/>
  <c r="V107" i="45"/>
  <c r="V167" i="12"/>
  <c r="J100" i="65"/>
  <c r="L82" i="48"/>
  <c r="N82" i="48" s="1"/>
  <c r="F82" i="48"/>
  <c r="V127" i="36"/>
  <c r="P86" i="51"/>
  <c r="X83" i="51"/>
  <c r="Z83" i="51" s="1"/>
  <c r="R83" i="51"/>
  <c r="D102" i="82"/>
  <c r="L99" i="82"/>
  <c r="N99" i="82" s="1"/>
  <c r="F99" i="82"/>
  <c r="L36" i="22"/>
  <c r="L84" i="58"/>
  <c r="N84" i="58" s="1"/>
  <c r="Z36" i="40"/>
  <c r="X36" i="40"/>
  <c r="X60" i="84"/>
  <c r="V102" i="82"/>
  <c r="L36" i="8"/>
  <c r="L37" i="79"/>
  <c r="N37" i="79" s="1"/>
  <c r="Z36" i="13"/>
  <c r="X36" i="13"/>
  <c r="L100" i="65" l="1"/>
  <c r="N100" i="65" s="1"/>
  <c r="F100" i="65"/>
  <c r="X98" i="88"/>
  <c r="Z98" i="88" s="1"/>
  <c r="R98" i="88"/>
  <c r="L167" i="12"/>
  <c r="N167" i="12" s="1"/>
  <c r="F167" i="12"/>
  <c r="X100" i="76"/>
  <c r="Z100" i="76" s="1"/>
  <c r="R100" i="76"/>
  <c r="L66" i="64"/>
  <c r="N66" i="64" s="1"/>
  <c r="F66" i="64"/>
  <c r="L158" i="15"/>
  <c r="N158" i="15" s="1"/>
  <c r="F158" i="15"/>
  <c r="L102" i="82"/>
  <c r="N102" i="82" s="1"/>
  <c r="F102" i="82"/>
  <c r="L123" i="39"/>
  <c r="N123" i="39" s="1"/>
  <c r="F123" i="39"/>
  <c r="X158" i="15"/>
  <c r="Z158" i="15" s="1"/>
  <c r="R158" i="15"/>
  <c r="X185" i="3"/>
  <c r="Z185" i="3" s="1"/>
  <c r="R185" i="3"/>
  <c r="X43" i="86"/>
  <c r="Z43" i="86" s="1"/>
  <c r="R43" i="86"/>
  <c r="X123" i="39"/>
  <c r="Z123" i="39" s="1"/>
  <c r="R123" i="39"/>
  <c r="L98" i="88"/>
  <c r="N98" i="88" s="1"/>
  <c r="F98" i="88"/>
  <c r="X99" i="91"/>
  <c r="Z99" i="91" s="1"/>
  <c r="R99" i="91"/>
  <c r="X119" i="67"/>
  <c r="Z119" i="67" s="1"/>
  <c r="R119" i="67"/>
  <c r="L119" i="67"/>
  <c r="N119" i="67" s="1"/>
  <c r="F119" i="67"/>
  <c r="X166" i="18"/>
  <c r="Z166" i="18" s="1"/>
  <c r="R166" i="18"/>
  <c r="X86" i="69"/>
  <c r="Z86" i="69" s="1"/>
  <c r="R86" i="69"/>
  <c r="L100" i="25"/>
  <c r="N100" i="25" s="1"/>
  <c r="F100" i="25"/>
  <c r="X86" i="51"/>
  <c r="Z86" i="51" s="1"/>
  <c r="R86" i="51"/>
  <c r="X167" i="12"/>
  <c r="Z167" i="12" s="1"/>
  <c r="R167" i="12"/>
  <c r="X100" i="25"/>
  <c r="Z100" i="25" s="1"/>
  <c r="R100" i="25"/>
  <c r="X127" i="36"/>
  <c r="Z127" i="36" s="1"/>
  <c r="R127" i="36"/>
  <c r="L166" i="18"/>
  <c r="N166" i="18" s="1"/>
  <c r="F166" i="18"/>
  <c r="X131" i="28"/>
  <c r="Z131" i="28" s="1"/>
  <c r="R131" i="28"/>
  <c r="L82" i="71"/>
  <c r="N82" i="71" s="1"/>
  <c r="F82" i="71"/>
  <c r="L86" i="51"/>
  <c r="N86" i="51" s="1"/>
  <c r="F86" i="51"/>
  <c r="X93" i="63"/>
  <c r="Z93" i="63" s="1"/>
  <c r="R93" i="63"/>
  <c r="X32" i="72"/>
  <c r="Z32" i="72" s="1"/>
  <c r="R32" i="72"/>
  <c r="L82" i="31"/>
  <c r="N82" i="31" s="1"/>
  <c r="F82" i="31"/>
  <c r="X102" i="82"/>
  <c r="Z102" i="82" s="1"/>
  <c r="R102" i="82"/>
  <c r="L95" i="73"/>
  <c r="N95" i="73" s="1"/>
  <c r="F95" i="73"/>
  <c r="L93" i="63"/>
  <c r="N93" i="63" s="1"/>
  <c r="F93" i="63"/>
  <c r="X66" i="64"/>
  <c r="Z66" i="64" s="1"/>
  <c r="R66" i="64"/>
  <c r="X82" i="31"/>
  <c r="Z82" i="31" s="1"/>
  <c r="R82" i="31"/>
  <c r="L136" i="34"/>
  <c r="N136" i="34" s="1"/>
  <c r="F136" i="34"/>
  <c r="L99" i="91"/>
  <c r="N99" i="91" s="1"/>
  <c r="F99" i="91"/>
  <c r="L185" i="3"/>
  <c r="N185" i="3" s="1"/>
  <c r="F185" i="3"/>
  <c r="X100" i="65"/>
  <c r="Z100" i="65" s="1"/>
  <c r="R100" i="65"/>
  <c r="X102" i="21"/>
  <c r="Z102" i="21" s="1"/>
  <c r="R102" i="21"/>
  <c r="X82" i="71"/>
  <c r="Z82" i="71" s="1"/>
  <c r="R82" i="71"/>
  <c r="L120" i="42"/>
  <c r="N120" i="42" s="1"/>
  <c r="F120" i="42"/>
  <c r="L82" i="68"/>
  <c r="N82" i="68" s="1"/>
  <c r="F82" i="6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<sst xmlns="http://schemas.openxmlformats.org/spreadsheetml/2006/main" count="2740" uniqueCount="316">
  <si>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</si>
  <si>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</si>
  <si>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</si>
  <si>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</si>
  <si>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</si>
  <si>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</si>
  <si>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</si>
  <si>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</si>
  <si>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</si>
  <si>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</si>
  <si>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</si>
  <si>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</si>
  <si>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</si>
  <si>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</si>
  <si>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</si>
  <si>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</si>
  <si>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</si>
  <si>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</si>
  <si>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</si>
  <si>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</si>
  <si>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</si>
  <si>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</si>
  <si>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</si>
  <si>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</si>
  <si>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</si>
  <si>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</si>
  <si>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</si>
  <si>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</si>
  <si>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</si>
  <si>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</si>
  <si>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</si>
  <si>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</si>
  <si>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</si>
  <si>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</si>
  <si>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</si>
  <si>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</si>
  <si>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</si>
  <si>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</si>
  <si>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</si>
  <si>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</si>
  <si>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</si>
  <si>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</si>
  <si>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</si>
  <si>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</si>
  <si>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</si>
  <si>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</si>
  <si>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</si>
  <si>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</si>
  <si>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</si>
  <si>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</si>
  <si>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</si>
  <si>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</si>
  <si>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</si>
  <si>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</si>
  <si>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</si>
  <si>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</si>
  <si>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</si>
  <si>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</si>
  <si>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</si>
  <si>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</si>
  <si>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</si>
  <si>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</si>
  <si>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</si>
  <si>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</si>
  <si>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</si>
  <si>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</si>
  <si>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</si>
  <si>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</si>
  <si>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</si>
  <si>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</si>
  <si>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</si>
  <si>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</si>
  <si>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</si>
  <si>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</si>
  <si>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</si>
  <si>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</si>
  <si>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</si>
  <si>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</si>
  <si>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</si>
  <si>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</si>
  <si>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</si>
  <si>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</si>
  <si>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</si>
  <si>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</si>
  <si>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</si>
  <si>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</si>
  <si>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</si>
  <si>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</si>
  <si>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</si>
  <si>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</si>
  <si>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</si>
  <si>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</si>
  <si>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</si>
  <si>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</si>
  <si>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</si>
  <si>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</si>
  <si>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</si>
  <si>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</si>
  <si>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</si>
  <si>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</si>
  <si>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</si>
  <si>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</si>
  <si>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</si>
  <si>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</si>
  <si>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</si>
  <si>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</si>
  <si>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</si>
  <si>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</si>
  <si>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</si>
  <si>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</si>
  <si>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</si>
  <si>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</si>
  <si>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</si>
  <si>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</si>
  <si>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</si>
  <si>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</si>
  <si>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</si>
  <si>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</si>
  <si>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</si>
  <si>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</si>
  <si>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</si>
  <si>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</si>
  <si>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</si>
  <si>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</si>
  <si>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</si>
  <si>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</si>
  <si>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</si>
  <si>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</si>
  <si>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</si>
  <si>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</si>
  <si>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</si>
  <si>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</si>
  <si>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</si>
  <si>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</si>
  <si>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</si>
  <si>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</si>
  <si>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</si>
  <si>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</si>
  <si>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</si>
  <si>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</si>
  <si>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</si>
  <si>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</si>
  <si>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</si>
  <si>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</si>
  <si>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</si>
  <si>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</si>
  <si>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</si>
  <si>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</si>
  <si>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</si>
  <si>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</si>
  <si>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</si>
  <si>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</si>
  <si>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</si>
  <si>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</si>
  <si>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</si>
  <si>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</si>
  <si>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</si>
  <si>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</si>
  <si>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</si>
  <si>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</si>
  <si>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</si>
  <si>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</si>
  <si>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</si>
  <si>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</si>
  <si>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</si>
  <si>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</si>
  <si>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</si>
  <si>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</si>
  <si>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</si>
  <si>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</si>
  <si>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</si>
  <si>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</si>
  <si>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</si>
  <si>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</si>
  <si>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</si>
  <si>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</si>
  <si>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</si>
  <si>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</si>
  <si>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</si>
  <si>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</si>
  <si>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</si>
  <si>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</si>
  <si>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</si>
  <si>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</si>
  <si>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</si>
  <si>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</si>
  <si>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</si>
  <si>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</si>
  <si>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</si>
  <si>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</si>
  <si>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</si>
  <si>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</si>
  <si>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</si>
  <si>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</si>
  <si>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</si>
  <si>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</si>
  <si>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</si>
  <si>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</si>
  <si>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</si>
  <si>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</si>
  <si>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</si>
  <si>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</si>
  <si>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</si>
  <si>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</si>
  <si>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</si>
  <si>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</si>
  <si>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</si>
  <si>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</si>
  <si>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</si>
  <si>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</si>
  <si>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</si>
  <si>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</si>
  <si>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</si>
  <si>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</si>
  <si>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</si>
  <si>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</si>
  <si>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</si>
  <si>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</si>
  <si>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</si>
  <si>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</si>
  <si>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</si>
  <si>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</si>
  <si>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</si>
  <si>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</si>
  <si>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</si>
  <si>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</si>
  <si>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</si>
  <si>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</si>
  <si>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</si>
  <si>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</si>
  <si>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</si>
  <si>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</si>
  <si>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</si>
  <si>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</si>
  <si>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</si>
  <si>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</si>
  <si>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</si>
  <si>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</si>
  <si>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</si>
  <si>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</si>
  <si>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</si>
  <si>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</si>
  <si>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</si>
  <si>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</si>
  <si>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</si>
  <si>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</si>
  <si>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</si>
  <si>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</si>
  <si>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</si>
  <si>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</si>
  <si>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</si>
  <si>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</si>
  <si>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</si>
  <si>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</si>
  <si>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</si>
  <si>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</si>
  <si>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</si>
  <si>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</si>
  <si>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</si>
  <si>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</si>
  <si>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</si>
  <si>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</si>
  <si>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</si>
  <si>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</si>
  <si>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</si>
  <si>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</si>
  <si>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</si>
  <si>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</si>
  <si>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</si>
  <si>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</si>
  <si>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</si>
  <si>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</si>
  <si>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</si>
  <si>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</si>
  <si>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</si>
  <si>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</si>
  <si>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</si>
  <si>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</si>
  <si>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</si>
  <si>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</si>
  <si>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</si>
  <si>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</si>
  <si>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</si>
  <si>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Budget</t>
  </si>
  <si>
    <t>% Budget Sales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</si>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</sst>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mmm\ d\,\ yyyy;@"/>
    <numFmt numFmtId="168" formatCode="[$-409]m/d/yy\ h:mm\ AM/PM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11"/>
      <color theme="0" tint="-0.499984740745262"/>
      <name val="Calibri"/>
      <scheme val="minor"/>
    </font>
    <font>
      <sz val="8"/>
      <color theme="0" tint="-0.499984740745262"/>
      <name val="Calibri"/>
      <scheme val="minor"/>
    </font>
    <font>
      <b/>
      <sz val="12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2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5" fontId="3" fillId="0" borderId="0" xfId="3" applyNumberFormat="1" applyFont="1" applyAlignment="1"/>
    <xf numFmtId="164" fontId="3" fillId="0" borderId="0" xfId="1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0" fontId="0" fillId="0" borderId="0" xfId="0" applyNumberFormat="1" applyFont="1" applyAlignment="1">
      <alignment horizontal="left"/>
    </xf>
    <xf numFmtId="164" fontId="0" fillId="0" borderId="0" xfId="1" applyNumberFormat="1" applyFont="1" applyAlignment="1"/>
    <xf numFmtId="165" fontId="3" fillId="0" borderId="0" xfId="3" applyNumberFormat="1" applyFont="1" applyAlignment="1"/>
    <xf numFmtId="166" fontId="2" fillId="2" borderId="2" xfId="2" applyNumberFormat="1" applyFont="1" applyFill="1" applyBorder="1" applyAlignment="1"/>
    <xf numFmtId="165" fontId="2" fillId="2" borderId="2" xfId="3" applyNumberFormat="1" applyFont="1" applyFill="1" applyBorder="1" applyAlignment="1"/>
    <xf numFmtId="164" fontId="2" fillId="0" borderId="0" xfId="1" applyNumberFormat="1" applyFont="1" applyAlignment="1"/>
    <xf numFmtId="0" fontId="2" fillId="0" borderId="0" xfId="0" applyNumberFormat="1" applyFont="1"/>
    <xf numFmtId="49" fontId="0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65" fontId="2" fillId="0" borderId="0" xfId="3" applyNumberFormat="1" applyFont="1" applyAlignment="1"/>
    <xf numFmtId="165" fontId="2" fillId="2" borderId="3" xfId="3" applyNumberFormat="1" applyFont="1" applyFill="1" applyBorder="1" applyAlignment="1"/>
    <xf numFmtId="49" fontId="2" fillId="0" borderId="0" xfId="0" applyNumberFormat="1" applyFont="1" applyAlignment="1">
      <alignment horizontal="center"/>
    </xf>
    <xf numFmtId="165" fontId="2" fillId="2" borderId="4" xfId="3" applyNumberFormat="1" applyFont="1" applyFill="1" applyBorder="1" applyAlignment="1"/>
    <xf numFmtId="166" fontId="2" fillId="2" borderId="4" xfId="2" applyNumberFormat="1" applyFont="1" applyFill="1" applyBorder="1" applyAlignment="1"/>
    <xf numFmtId="166" fontId="2" fillId="2" borderId="3" xfId="2" applyNumberFormat="1" applyFont="1" applyFill="1" applyBorder="1" applyAlignment="1"/>
    <xf numFmtId="0" fontId="0" fillId="0" borderId="0" xfId="0" applyNumberFormat="1" applyFont="1"/>
    <xf numFmtId="165" fontId="0" fillId="0" borderId="0" xfId="0" applyNumberFormat="1" applyFont="1" applyAlignment="1">
      <alignment horizontal="left"/>
    </xf>
    <xf numFmtId="165" fontId="2" fillId="2" borderId="1" xfId="3" applyNumberFormat="1" applyFont="1" applyFill="1" applyBorder="1" applyAlignment="1">
      <alignment horizontal="center"/>
    </xf>
    <xf numFmtId="165" fontId="2" fillId="2" borderId="1" xfId="3" applyNumberFormat="1" applyFont="1" applyFill="1" applyBorder="1" applyAlignment="1">
      <alignment horizontal="left"/>
    </xf>
    <xf numFmtId="0" fontId="0" fillId="3" borderId="5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/>
    </xf>
    <xf numFmtId="165" fontId="0" fillId="0" borderId="0" xfId="1" applyNumberFormat="1" applyFont="1" applyAlignment="1"/>
    <xf numFmtId="49" fontId="3" fillId="0" borderId="0" xfId="0" applyNumberFormat="1" applyFont="1"/>
    <xf numFmtId="165" fontId="0" fillId="0" borderId="0" xfId="3" applyNumberFormat="1" applyFont="1" applyAlignment="1">
      <alignment horizontal="left"/>
    </xf>
    <xf numFmtId="165" fontId="2" fillId="2" borderId="1" xfId="0" applyNumberFormat="1" applyFont="1" applyFill="1" applyBorder="1" applyAlignment="1">
      <alignment horizontal="left"/>
    </xf>
    <xf numFmtId="165" fontId="0" fillId="0" borderId="0" xfId="0" applyNumberFormat="1" applyFont="1"/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/>
    <xf numFmtId="0" fontId="0" fillId="0" borderId="0" xfId="0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67" fontId="0" fillId="0" borderId="0" xfId="0" applyNumberFormat="1" applyFont="1"/>
    <xf numFmtId="0" fontId="2" fillId="0" borderId="0" xfId="0" applyNumberFormat="1" applyFont="1"/>
    <xf numFmtId="0" fontId="4" fillId="0" borderId="0" xfId="0" applyNumberFormat="1" applyFont="1"/>
    <xf numFmtId="164" fontId="2" fillId="0" borderId="0" xfId="1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168" fontId="5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0" fontId="6" fillId="0" borderId="0" xfId="0" applyNumberFormat="1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141B2-191B-FBA9-448B-C7B98F899C91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6" customWidth="1"/>
  </cols>
  <sheetData>
    <row r="1" spans="1:130" ht="15" customHeight="1" x14ac:dyDescent="0.3">
      <c r="B1" s="1">
        <v>4</v>
      </c>
    </row>
    <row r="3" spans="1:130" ht="30" customHeight="1" x14ac:dyDescent="0.3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EDE5-BB08-AD8B-4608-2D121249C28B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301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F6D9E-313B-DE31-8D38-640031000000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301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89A9D-DB73-57F9-9CE8-F6093572CDA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302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7055D-ADE5-049D-B84C-8ADA435867E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302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1D819-D5F9-7C1C-6F27-193B79B50671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303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F5F26-6AE9-D9DC-FCA4-67488379F946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303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07FCA-37E1-82DD-5C24-1FF0D9F72079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304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09FCA-DA21-B6A6-923B-47B6BF1816A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304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D96F7-F8F8-9A34-BA54-352418939CA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305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B747-68E1-BF37-3F2E-F1C2ADB2CA2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306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A63DA-B1FB-793A-CCF5-704357E11068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6" customWidth="1"/>
    <col min="221" max="221" width="20.6640625" style="71" customWidth="1"/>
    <col min="222" max="223" width="20.6640625" style="66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2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39" t="s">
        <v>274</v>
      </c>
      <c r="JL10002" s="39" t="s">
        <v>275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21743-3EF4-ADCB-232B-B1C92F32B5E9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306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2D30E-401E-02CF-AA56-347DA6B51A6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307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E5D7-A5CF-6E48-E7B3-6E81D86CFF6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307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FB835-765D-240F-F36D-CB6E92D15AC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308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2BEEA-0397-165D-A22A-8D2C580BB39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308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22B91-FABF-0E62-F4BF-2883373B88C9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309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3366-666F-7D97-7601-01AB6D50DF6D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310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D1377-3559-9E3B-7428-4DE45EA29941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310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6CEDE-C5B5-727B-8708-7828474BA7D6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311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AADE-6C88-0A7B-BF61-C38A86744F54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311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E633A-9F94-94A8-0C82-2DAB3D6D745C}">
  <sheetPr>
    <tabColor rgb="FF00B0F0"/>
    <outlinePr summaryBelow="0" summaryRight="0"/>
  </sheetPr>
  <dimension ref="A2:Z190"/>
  <sheetViews>
    <sheetView showGridLines="0" tabSelected="1" defaultGridColor="0" colorId="8" zoomScale="80" workbookViewId="0">
      <pane xSplit="3" ySplit="10" topLeftCell="D112" activePane="bottomRight" state="frozen"/>
      <selection pane="topRight" activeCell="D1" sqref="D1"/>
      <selection pane="bottomLeft" activeCell="A11" sqref="A11"/>
      <selection pane="bottomRight" activeCell="D112" sqref="D112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278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2685762.0700000003</v>
      </c>
      <c r="E12" s="5"/>
      <c r="F12" s="13"/>
      <c r="G12" s="5"/>
      <c r="H12" s="5">
        <f>SUM(OSRRefH13x_0)</f>
        <v>2310646</v>
      </c>
      <c r="I12" s="5"/>
      <c r="J12" s="13"/>
      <c r="K12" s="5"/>
      <c r="L12" s="5">
        <f t="shared" ref="L12:L23" si="0">+D12-H12</f>
        <v>375116.0700000003</v>
      </c>
      <c r="M12" s="5"/>
      <c r="N12" s="13">
        <f t="shared" ref="N12:N23" si="1">IF(H12=0,0,L12/H12)</f>
        <v>0.16234250941078829</v>
      </c>
      <c r="O12" s="11"/>
      <c r="P12" s="5">
        <f>SUM(OSRRefP13x_0)</f>
        <v>15646485.23</v>
      </c>
      <c r="Q12" s="5"/>
      <c r="R12" s="13"/>
      <c r="S12" s="5"/>
      <c r="T12" s="5">
        <f>SUM(OSRRefT13x_0)</f>
        <v>16836233</v>
      </c>
      <c r="U12" s="5"/>
      <c r="V12" s="13"/>
      <c r="W12" s="5"/>
      <c r="X12" s="5">
        <f t="shared" ref="X12:X23" si="2">+P12-T12</f>
        <v>-1189747.7699999996</v>
      </c>
      <c r="Y12" s="5"/>
      <c r="Z12" s="13">
        <f t="shared" ref="Z12:Z23" si="3">IF(T12=0,0,X12/T12)</f>
        <v>-7.0665912618339238E-2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--800682.06</f>
        <v>800682.06</v>
      </c>
      <c r="E13" s="3"/>
      <c r="F13" s="20"/>
      <c r="G13" s="3"/>
      <c r="H13" s="3">
        <v>778133</v>
      </c>
      <c r="I13" s="3"/>
      <c r="J13" s="20"/>
      <c r="K13" s="3"/>
      <c r="L13" s="3">
        <f t="shared" si="0"/>
        <v>22549.060000000056</v>
      </c>
      <c r="M13" s="3"/>
      <c r="N13" s="20">
        <f t="shared" si="1"/>
        <v>2.8978413715907248E-2</v>
      </c>
      <c r="O13" s="12"/>
      <c r="P13" s="3">
        <f>--5491587.29</f>
        <v>5491587.29</v>
      </c>
      <c r="Q13" s="3"/>
      <c r="R13" s="20"/>
      <c r="S13" s="3"/>
      <c r="T13" s="3">
        <v>9087682</v>
      </c>
      <c r="U13" s="3"/>
      <c r="V13" s="20"/>
      <c r="W13" s="3"/>
      <c r="X13" s="3">
        <f t="shared" si="2"/>
        <v>-3596094.71</v>
      </c>
      <c r="Y13" s="3"/>
      <c r="Z13" s="20">
        <f t="shared" si="3"/>
        <v>-0.39571088755086281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--56330.93</f>
        <v>56330.93</v>
      </c>
      <c r="E14" s="3"/>
      <c r="F14" s="20"/>
      <c r="G14" s="3"/>
      <c r="H14" s="3"/>
      <c r="I14" s="3"/>
      <c r="J14" s="20"/>
      <c r="K14" s="3"/>
      <c r="L14" s="3">
        <f t="shared" si="0"/>
        <v>56330.93</v>
      </c>
      <c r="M14" s="3"/>
      <c r="N14" s="20">
        <f t="shared" si="1"/>
        <v>0</v>
      </c>
      <c r="O14" s="12"/>
      <c r="P14" s="3">
        <f>--205690.29</f>
        <v>205690.29</v>
      </c>
      <c r="Q14" s="3"/>
      <c r="R14" s="20"/>
      <c r="S14" s="3"/>
      <c r="T14" s="3"/>
      <c r="U14" s="3"/>
      <c r="V14" s="20"/>
      <c r="W14" s="3"/>
      <c r="X14" s="3">
        <f t="shared" si="2"/>
        <v>205690.29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--6171.55</f>
        <v>6171.55</v>
      </c>
      <c r="E15" s="3"/>
      <c r="F15" s="20"/>
      <c r="G15" s="3"/>
      <c r="H15" s="3"/>
      <c r="I15" s="3"/>
      <c r="J15" s="20"/>
      <c r="K15" s="3"/>
      <c r="L15" s="3">
        <f t="shared" si="0"/>
        <v>6171.55</v>
      </c>
      <c r="M15" s="3"/>
      <c r="N15" s="20">
        <f t="shared" si="1"/>
        <v>0</v>
      </c>
      <c r="O15" s="12"/>
      <c r="P15" s="3">
        <f>--18346.7</f>
        <v>18346.7</v>
      </c>
      <c r="Q15" s="3"/>
      <c r="R15" s="20"/>
      <c r="S15" s="3"/>
      <c r="T15" s="3"/>
      <c r="U15" s="3"/>
      <c r="V15" s="20"/>
      <c r="W15" s="3"/>
      <c r="X15" s="3">
        <f t="shared" si="2"/>
        <v>18346.7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--337738.85</f>
        <v>337738.85</v>
      </c>
      <c r="E16" s="3"/>
      <c r="F16" s="20"/>
      <c r="G16" s="3"/>
      <c r="H16" s="3">
        <v>1532513</v>
      </c>
      <c r="I16" s="3"/>
      <c r="J16" s="20"/>
      <c r="K16" s="3"/>
      <c r="L16" s="3">
        <f t="shared" si="0"/>
        <v>-1194774.1499999999</v>
      </c>
      <c r="M16" s="3"/>
      <c r="N16" s="20">
        <f t="shared" si="1"/>
        <v>-0.77961762803969681</v>
      </c>
      <c r="O16" s="12"/>
      <c r="P16" s="3">
        <f>--1989613.04</f>
        <v>1989613.04</v>
      </c>
      <c r="Q16" s="3"/>
      <c r="R16" s="20"/>
      <c r="S16" s="3"/>
      <c r="T16" s="3">
        <v>7748551</v>
      </c>
      <c r="U16" s="3"/>
      <c r="V16" s="20"/>
      <c r="W16" s="3"/>
      <c r="X16" s="3">
        <f t="shared" si="2"/>
        <v>-5758937.96</v>
      </c>
      <c r="Y16" s="3"/>
      <c r="Z16" s="20">
        <f t="shared" si="3"/>
        <v>-0.74322772864242614</v>
      </c>
    </row>
    <row r="17" spans="1:26" s="70" customFormat="1" ht="15" hidden="1" customHeight="1" outlineLevel="1" x14ac:dyDescent="0.3">
      <c r="A17" s="42"/>
      <c r="B17" s="12" t="str">
        <f>CONCATENATE("          ","4141"," - ","NON-TAXABLE SALES-LOGO GIFTS")</f>
        <v xml:space="preserve">          4141 - NON-TAXABLE SALES-LOGO GIFTS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/>
      <c r="U17" s="3"/>
      <c r="V17" s="20"/>
      <c r="W17" s="3"/>
      <c r="X17" s="3">
        <f t="shared" si="2"/>
        <v>0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","4146"," - ","NON-TAXABLE SALES-COIN OP MACH")</f>
        <v xml:space="preserve">          4146 - NON-TAXABLE SALES-COIN OP MACH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","4151"," - ","NON-TAXABLE SALES-FOOD")</f>
        <v xml:space="preserve">          4151 - NON-TAXABLE SALES-FOOD</v>
      </c>
      <c r="C19" s="12"/>
      <c r="D19" s="3">
        <f>--1525459.07</f>
        <v>1525459.07</v>
      </c>
      <c r="E19" s="3"/>
      <c r="F19" s="20"/>
      <c r="G19" s="3"/>
      <c r="H19" s="3"/>
      <c r="I19" s="3"/>
      <c r="J19" s="20"/>
      <c r="K19" s="3"/>
      <c r="L19" s="3">
        <f t="shared" si="0"/>
        <v>1525459.07</v>
      </c>
      <c r="M19" s="3"/>
      <c r="N19" s="20">
        <f t="shared" si="1"/>
        <v>0</v>
      </c>
      <c r="O19" s="12"/>
      <c r="P19" s="3">
        <f>--8331859.48</f>
        <v>8331859.4800000004</v>
      </c>
      <c r="Q19" s="3"/>
      <c r="R19" s="20"/>
      <c r="S19" s="3"/>
      <c r="T19" s="3"/>
      <c r="U19" s="3"/>
      <c r="V19" s="20"/>
      <c r="W19" s="3"/>
      <c r="X19" s="3">
        <f t="shared" si="2"/>
        <v>8331859.4800000004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","4153"," - ","NON-TAXABLE SALES-FOOD")</f>
        <v xml:space="preserve">          4153 - NON-TAXABLE SALES-FOOD</v>
      </c>
      <c r="C20" s="12"/>
      <c r="D20" s="3">
        <f>--19305.96</f>
        <v>19305.96</v>
      </c>
      <c r="E20" s="3"/>
      <c r="F20" s="20"/>
      <c r="G20" s="3"/>
      <c r="H20" s="3"/>
      <c r="I20" s="3"/>
      <c r="J20" s="20"/>
      <c r="K20" s="3"/>
      <c r="L20" s="3">
        <f t="shared" si="0"/>
        <v>19305.96</v>
      </c>
      <c r="M20" s="3"/>
      <c r="N20" s="20">
        <f t="shared" si="1"/>
        <v>0</v>
      </c>
      <c r="O20" s="12"/>
      <c r="P20" s="3">
        <f>--80787.28</f>
        <v>80787.28</v>
      </c>
      <c r="Q20" s="3"/>
      <c r="R20" s="20"/>
      <c r="S20" s="3"/>
      <c r="T20" s="3"/>
      <c r="U20" s="3"/>
      <c r="V20" s="20"/>
      <c r="W20" s="3"/>
      <c r="X20" s="3">
        <f t="shared" si="2"/>
        <v>80787.28</v>
      </c>
      <c r="Y20" s="3"/>
      <c r="Z20" s="20">
        <f t="shared" si="3"/>
        <v>0</v>
      </c>
    </row>
    <row r="21" spans="1:26" s="70" customFormat="1" ht="15" hidden="1" customHeight="1" outlineLevel="1" x14ac:dyDescent="0.3">
      <c r="A21" s="42"/>
      <c r="B21" s="12" t="str">
        <f>CONCATENATE("          ","4200"," - ","TAXABLE RETURNS")</f>
        <v xml:space="preserve">          4200 - TAXABLE RETURNS</v>
      </c>
      <c r="C21" s="12"/>
      <c r="D21" s="3">
        <f>-44012.96</f>
        <v>-44012.959999999999</v>
      </c>
      <c r="E21" s="3"/>
      <c r="F21" s="20"/>
      <c r="G21" s="3"/>
      <c r="H21" s="3"/>
      <c r="I21" s="3"/>
      <c r="J21" s="20"/>
      <c r="K21" s="3"/>
      <c r="L21" s="3">
        <f t="shared" si="0"/>
        <v>-44012.959999999999</v>
      </c>
      <c r="M21" s="3"/>
      <c r="N21" s="20">
        <f t="shared" si="1"/>
        <v>0</v>
      </c>
      <c r="O21" s="12"/>
      <c r="P21" s="3">
        <f>-355572.43</f>
        <v>-355572.43</v>
      </c>
      <c r="Q21" s="3"/>
      <c r="R21" s="20"/>
      <c r="S21" s="3"/>
      <c r="T21" s="3"/>
      <c r="U21" s="3"/>
      <c r="V21" s="20"/>
      <c r="W21" s="3"/>
      <c r="X21" s="3">
        <f t="shared" si="2"/>
        <v>-355572.43</v>
      </c>
      <c r="Y21" s="3"/>
      <c r="Z21" s="20">
        <f t="shared" si="3"/>
        <v>0</v>
      </c>
    </row>
    <row r="22" spans="1:26" s="70" customFormat="1" ht="15" hidden="1" customHeight="1" outlineLevel="1" x14ac:dyDescent="0.3">
      <c r="A22" s="42"/>
      <c r="B22" s="12" t="str">
        <f>CONCATENATE("          ","4300"," - ","NON-TAX RETURNS")</f>
        <v xml:space="preserve">          4300 - NON-TAX RETURNS</v>
      </c>
      <c r="C22" s="12"/>
      <c r="D22" s="3">
        <f>-3582.86</f>
        <v>-3582.86</v>
      </c>
      <c r="E22" s="3"/>
      <c r="F22" s="20"/>
      <c r="G22" s="3"/>
      <c r="H22" s="3"/>
      <c r="I22" s="3"/>
      <c r="J22" s="20"/>
      <c r="K22" s="3"/>
      <c r="L22" s="3">
        <f t="shared" si="0"/>
        <v>-3582.86</v>
      </c>
      <c r="M22" s="3"/>
      <c r="N22" s="20">
        <f t="shared" si="1"/>
        <v>0</v>
      </c>
      <c r="O22" s="12"/>
      <c r="P22" s="3">
        <f>-32361.72</f>
        <v>-32361.72</v>
      </c>
      <c r="Q22" s="3"/>
      <c r="R22" s="20"/>
      <c r="S22" s="3"/>
      <c r="T22" s="3"/>
      <c r="U22" s="3"/>
      <c r="V22" s="20"/>
      <c r="W22" s="3"/>
      <c r="X22" s="3">
        <f t="shared" si="2"/>
        <v>-32361.72</v>
      </c>
      <c r="Y22" s="3"/>
      <c r="Z22" s="20">
        <f t="shared" si="3"/>
        <v>0</v>
      </c>
    </row>
    <row r="23" spans="1:26" s="70" customFormat="1" ht="15" hidden="1" customHeight="1" outlineLevel="1" x14ac:dyDescent="0.3">
      <c r="A23" s="42"/>
      <c r="B23" s="12" t="str">
        <f>CONCATENATE("          ","4500"," - ","SALES DISCOUNT")</f>
        <v xml:space="preserve">          4500 - SALES DISCOUNT</v>
      </c>
      <c r="C23" s="12"/>
      <c r="D23" s="3">
        <f>-12330.53</f>
        <v>-12330.53</v>
      </c>
      <c r="E23" s="3"/>
      <c r="F23" s="20"/>
      <c r="G23" s="3"/>
      <c r="H23" s="3"/>
      <c r="I23" s="3"/>
      <c r="J23" s="20"/>
      <c r="K23" s="3"/>
      <c r="L23" s="3">
        <f t="shared" si="0"/>
        <v>-12330.53</v>
      </c>
      <c r="M23" s="3"/>
      <c r="N23" s="20">
        <f t="shared" si="1"/>
        <v>0</v>
      </c>
      <c r="O23" s="12"/>
      <c r="P23" s="3">
        <f>-83464.7</f>
        <v>-83464.7</v>
      </c>
      <c r="Q23" s="3"/>
      <c r="R23" s="20"/>
      <c r="S23" s="3"/>
      <c r="T23" s="3"/>
      <c r="U23" s="3"/>
      <c r="V23" s="20"/>
      <c r="W23" s="3"/>
      <c r="X23" s="3">
        <f t="shared" si="2"/>
        <v>-83464.7</v>
      </c>
      <c r="Y23" s="3"/>
      <c r="Z23" s="20">
        <f t="shared" si="3"/>
        <v>0</v>
      </c>
    </row>
    <row r="24" spans="1:26" ht="15" customHeight="1" x14ac:dyDescent="0.3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collapsed="1" x14ac:dyDescent="0.3">
      <c r="A25" s="11"/>
      <c r="B25" s="27" t="s">
        <v>288</v>
      </c>
      <c r="C25" s="11"/>
      <c r="D25" s="5">
        <f>SUM(OSRRefD16x_0)</f>
        <v>981293.33</v>
      </c>
      <c r="E25" s="5"/>
      <c r="F25" s="13">
        <f t="shared" ref="F25:F60" si="4">IF(D$12=0,0,D25/D$12)</f>
        <v>0.36536867541658291</v>
      </c>
      <c r="G25" s="5"/>
      <c r="H25" s="5">
        <f>SUM(OSRRefH16x_0)</f>
        <v>865778</v>
      </c>
      <c r="I25" s="5"/>
      <c r="J25" s="13">
        <f t="shared" ref="J25:J60" si="5">IF(H$12=0,0,H25/H$12)</f>
        <v>0.37469088731030198</v>
      </c>
      <c r="K25" s="5"/>
      <c r="L25" s="5">
        <f t="shared" ref="L25:L60" si="6">+D25-H25</f>
        <v>115515.32999999996</v>
      </c>
      <c r="M25" s="5"/>
      <c r="N25" s="13">
        <f t="shared" ref="N25:N60" si="7">IF(H25=0,0,L25/H25)</f>
        <v>0.13342372987070583</v>
      </c>
      <c r="O25" s="11"/>
      <c r="P25" s="5">
        <f>SUM(OSRRefP16x_0)</f>
        <v>6496619.8900000006</v>
      </c>
      <c r="Q25" s="5"/>
      <c r="R25" s="13">
        <f t="shared" ref="R25:R60" si="8">IF(P$12=0,0,P25/P$12)</f>
        <v>0.41521273273205273</v>
      </c>
      <c r="S25" s="5"/>
      <c r="T25" s="5">
        <f>SUM(OSRRefT16x_0)</f>
        <v>8234775</v>
      </c>
      <c r="U25" s="5"/>
      <c r="V25" s="13">
        <f t="shared" ref="V25:V60" si="9">IF(T$12=0,0,T25/T$12)</f>
        <v>0.48911030157399221</v>
      </c>
      <c r="W25" s="5"/>
      <c r="X25" s="5">
        <f t="shared" ref="X25:X60" si="10">+P25-T25</f>
        <v>-1738155.1099999994</v>
      </c>
      <c r="Y25" s="5"/>
      <c r="Z25" s="13">
        <f t="shared" ref="Z25:Z60" si="11">IF(T25=0,0,X25/T25)</f>
        <v>-0.21107499719178718</v>
      </c>
    </row>
    <row r="26" spans="1:26" s="70" customFormat="1" ht="15" hidden="1" customHeight="1" outlineLevel="1" x14ac:dyDescent="0.3">
      <c r="A26" s="42"/>
      <c r="B26" s="12" t="str">
        <f>CONCATENATE("          ","5000"," - ","PURCHASES @ COST")</f>
        <v xml:space="preserve">          5000 - PURCHASES @ COST</v>
      </c>
      <c r="C26" s="12"/>
      <c r="D26" s="3">
        <v>529484.19999999995</v>
      </c>
      <c r="E26" s="3"/>
      <c r="F26" s="20">
        <f t="shared" si="4"/>
        <v>0.19714486473479756</v>
      </c>
      <c r="G26" s="3"/>
      <c r="H26" s="3">
        <v>865778</v>
      </c>
      <c r="I26" s="3"/>
      <c r="J26" s="20">
        <f t="shared" si="5"/>
        <v>0.37469088731030198</v>
      </c>
      <c r="K26" s="3"/>
      <c r="L26" s="3">
        <f t="shared" si="6"/>
        <v>-336293.80000000005</v>
      </c>
      <c r="M26" s="3"/>
      <c r="N26" s="20">
        <f t="shared" si="7"/>
        <v>-0.38842959742566807</v>
      </c>
      <c r="O26" s="12"/>
      <c r="P26" s="3">
        <v>4575471.9000000004</v>
      </c>
      <c r="Q26" s="3"/>
      <c r="R26" s="20">
        <f t="shared" si="8"/>
        <v>0.29242809696500766</v>
      </c>
      <c r="S26" s="3"/>
      <c r="T26" s="3">
        <v>8234775</v>
      </c>
      <c r="U26" s="3"/>
      <c r="V26" s="20">
        <f t="shared" si="9"/>
        <v>0.48911030157399221</v>
      </c>
      <c r="W26" s="3"/>
      <c r="X26" s="3">
        <f t="shared" si="10"/>
        <v>-3659303.0999999996</v>
      </c>
      <c r="Y26" s="3"/>
      <c r="Z26" s="20">
        <f t="shared" si="11"/>
        <v>-0.44437195916099709</v>
      </c>
    </row>
    <row r="27" spans="1:26" s="70" customFormat="1" ht="15" hidden="1" customHeight="1" outlineLevel="1" x14ac:dyDescent="0.3">
      <c r="A27" s="42"/>
      <c r="B27" s="12" t="str">
        <f>CONCATENATE("          ","5001"," - ","PURCHASES @ COST-NEW TEXT")</f>
        <v xml:space="preserve">          5001 - PURCHASES @ COST-NEW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","5002"," - ","PURCHASES @ COST-USED TEXT")</f>
        <v xml:space="preserve">          5002 - PURCHASES @ COST-USED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","5004"," - ","PURCHASES @ COST-DIGITAL TEXT")</f>
        <v xml:space="preserve">          5004 - PURCHASES @ COST-DIGITAL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","5026"," - ","PURCHASES @ COST-WRITING INSTR")</f>
        <v xml:space="preserve">          5026 - PURCHASES @ COST-WRITING INSTR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","5027"," - ","PURCHASES @ COST-SCHOOL SUPPLI")</f>
        <v xml:space="preserve">          5027 - PURCHASES @ COST-SCHOOL SUPPLI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","5028"," - ","PURCHASES @ COST-ART/TECH")</f>
        <v xml:space="preserve">          5028 - PURCHASES @ COST-ART/TECH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","5031"," - ","PURCHASES @ COST-FOOD")</f>
        <v xml:space="preserve">          5031 - PURCHASES @ COST-FOOD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","5040"," - ","PURCHASES @ COST-LOGO CLOTHING")</f>
        <v xml:space="preserve">          5040 - PURCHASES @ COST-LOGO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","5041"," - ","PURCHASES @ COST-LOGO GIFTS")</f>
        <v xml:space="preserve">          5041 - PURCHASES @ COST-LOGO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","5042"," - ","PURCHASES @ COST-EVERYDAY GIFT")</f>
        <v xml:space="preserve">          5042 - PURCHASES @ COST-EVERYDAY GIFT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","5043"," - ","PURCHASES @ COST-CARDS")</f>
        <v xml:space="preserve">          5043 - PURCHASES @ COST-CARDS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","5044"," - ","PURCHASES @ COST-ACCESSORIES")</f>
        <v xml:space="preserve">          5044 - PURCHASES @ COST-ACCESSORIES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","5045"," - ","PURCHASES @ COST-SPECIAL ORDER")</f>
        <v xml:space="preserve">          5045 - PURCHASES @ COST-SPECIAL ORDER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","5053"," - ","PURCHASES @ COST-FOOD")</f>
        <v xml:space="preserve">          5053 - PURCHASES @ COST-FOOD</v>
      </c>
      <c r="C40" s="12"/>
      <c r="D40" s="3">
        <v>390356.27</v>
      </c>
      <c r="E40" s="3"/>
      <c r="F40" s="20">
        <f t="shared" si="4"/>
        <v>0.14534283373806078</v>
      </c>
      <c r="G40" s="3"/>
      <c r="H40" s="3"/>
      <c r="I40" s="3"/>
      <c r="J40" s="20">
        <f t="shared" si="5"/>
        <v>0</v>
      </c>
      <c r="K40" s="3"/>
      <c r="L40" s="3">
        <f t="shared" si="6"/>
        <v>390356.27</v>
      </c>
      <c r="M40" s="3"/>
      <c r="N40" s="20">
        <f t="shared" si="7"/>
        <v>0</v>
      </c>
      <c r="O40" s="12"/>
      <c r="P40" s="3">
        <v>2304196.73</v>
      </c>
      <c r="Q40" s="3"/>
      <c r="R40" s="20">
        <f t="shared" si="8"/>
        <v>0.14726609178539454</v>
      </c>
      <c r="S40" s="3"/>
      <c r="T40" s="3"/>
      <c r="U40" s="3"/>
      <c r="V40" s="20">
        <f t="shared" si="9"/>
        <v>0</v>
      </c>
      <c r="W40" s="3"/>
      <c r="X40" s="3">
        <f t="shared" si="10"/>
        <v>2304196.73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","5059"," - ","PURCHASES @ COST-FOOD")</f>
        <v xml:space="preserve">          5059 - PURCHASES @ COST-FOOD</v>
      </c>
      <c r="C41" s="12"/>
      <c r="D41" s="3">
        <v>52622.98</v>
      </c>
      <c r="E41" s="3"/>
      <c r="F41" s="20">
        <f t="shared" si="4"/>
        <v>1.9593314161295009E-2</v>
      </c>
      <c r="G41" s="3"/>
      <c r="H41" s="3"/>
      <c r="I41" s="3"/>
      <c r="J41" s="20">
        <f t="shared" si="5"/>
        <v>0</v>
      </c>
      <c r="K41" s="3"/>
      <c r="L41" s="3">
        <f t="shared" si="6"/>
        <v>52622.98</v>
      </c>
      <c r="M41" s="3"/>
      <c r="N41" s="20">
        <f t="shared" si="7"/>
        <v>0</v>
      </c>
      <c r="O41" s="12"/>
      <c r="P41" s="3">
        <v>36324.61</v>
      </c>
      <c r="Q41" s="3"/>
      <c r="R41" s="20">
        <f t="shared" si="8"/>
        <v>2.32158273670003E-3</v>
      </c>
      <c r="S41" s="3"/>
      <c r="T41" s="3"/>
      <c r="U41" s="3"/>
      <c r="V41" s="20">
        <f t="shared" si="9"/>
        <v>0</v>
      </c>
      <c r="W41" s="3"/>
      <c r="X41" s="3">
        <f t="shared" si="10"/>
        <v>36324.61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","5081"," - ","PURCHASES @ COST-ELECTRONICS")</f>
        <v xml:space="preserve">          5081 - PURCHASES @ COST-ELECTRONICS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>
        <v>0</v>
      </c>
      <c r="Q42" s="3"/>
      <c r="R42" s="20">
        <f t="shared" si="8"/>
        <v>0</v>
      </c>
      <c r="S42" s="3"/>
      <c r="T42" s="3"/>
      <c r="U42" s="3"/>
      <c r="V42" s="20">
        <f t="shared" si="9"/>
        <v>0</v>
      </c>
      <c r="W42" s="3"/>
      <c r="X42" s="3">
        <f t="shared" si="10"/>
        <v>0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","5082"," - ","PURCHASES @ COST-COMPUTER HARD")</f>
        <v xml:space="preserve">          5082 - PURCHASES @ COST-COMPUTER HARD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>
        <v>-93808.4</v>
      </c>
      <c r="Q43" s="3"/>
      <c r="R43" s="20">
        <f t="shared" si="8"/>
        <v>-5.9954934684075369E-3</v>
      </c>
      <c r="S43" s="3"/>
      <c r="T43" s="3"/>
      <c r="U43" s="3"/>
      <c r="V43" s="20">
        <f t="shared" si="9"/>
        <v>0</v>
      </c>
      <c r="W43" s="3"/>
      <c r="X43" s="3">
        <f t="shared" si="10"/>
        <v>-93808.4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","5083"," - ","PURCHASES @ COST-COMPUTER EQUI")</f>
        <v xml:space="preserve">          5083 - PURCHASES @ COST-COMPUTER EQUI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","5085"," - ","PURCHASES @ COST-SOFTWARE")</f>
        <v xml:space="preserve">          5085 - PURCHASES @ COST-SOFTWARE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","5086"," - ","PURCHASES @ COST-COMPUTER SUPP")</f>
        <v xml:space="preserve">          5086 - PURCHASES @ COST-COMPUTER SUPP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","5200"," - ","PURCHASES OFFSET")</f>
        <v xml:space="preserve">          5200 - PURCHASES OFFSET</v>
      </c>
      <c r="C47" s="12"/>
      <c r="D47" s="3">
        <v>-536671.35</v>
      </c>
      <c r="E47" s="3"/>
      <c r="F47" s="20">
        <f t="shared" si="4"/>
        <v>-0.19982088361237446</v>
      </c>
      <c r="G47" s="3"/>
      <c r="H47" s="3"/>
      <c r="I47" s="3"/>
      <c r="J47" s="20">
        <f t="shared" si="5"/>
        <v>0</v>
      </c>
      <c r="K47" s="3"/>
      <c r="L47" s="3">
        <f t="shared" si="6"/>
        <v>-536671.35</v>
      </c>
      <c r="M47" s="3"/>
      <c r="N47" s="20">
        <f t="shared" si="7"/>
        <v>0</v>
      </c>
      <c r="O47" s="12"/>
      <c r="P47" s="3">
        <v>-4386453.21</v>
      </c>
      <c r="Q47" s="3"/>
      <c r="R47" s="20">
        <f t="shared" si="8"/>
        <v>-0.28034751227001287</v>
      </c>
      <c r="S47" s="3"/>
      <c r="T47" s="3"/>
      <c r="U47" s="3"/>
      <c r="V47" s="20">
        <f t="shared" si="9"/>
        <v>0</v>
      </c>
      <c r="W47" s="3"/>
      <c r="X47" s="3">
        <f t="shared" si="10"/>
        <v>-4386453.21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","5300"," - ","COG$ OFFSET")</f>
        <v xml:space="preserve">          5300 - COG$ OFFSET</v>
      </c>
      <c r="C48" s="12"/>
      <c r="D48" s="3">
        <v>513873.01</v>
      </c>
      <c r="E48" s="3"/>
      <c r="F48" s="20">
        <f t="shared" si="4"/>
        <v>0.19133229102457314</v>
      </c>
      <c r="G48" s="3"/>
      <c r="H48" s="3"/>
      <c r="I48" s="3"/>
      <c r="J48" s="20">
        <f t="shared" si="5"/>
        <v>0</v>
      </c>
      <c r="K48" s="3"/>
      <c r="L48" s="3">
        <f t="shared" si="6"/>
        <v>513873.01</v>
      </c>
      <c r="M48" s="3"/>
      <c r="N48" s="20">
        <f t="shared" si="7"/>
        <v>0</v>
      </c>
      <c r="O48" s="12"/>
      <c r="P48" s="3">
        <v>3937005.84</v>
      </c>
      <c r="Q48" s="3"/>
      <c r="R48" s="20">
        <f t="shared" si="8"/>
        <v>0.25162237921979619</v>
      </c>
      <c r="S48" s="3"/>
      <c r="T48" s="3"/>
      <c r="U48" s="3"/>
      <c r="V48" s="20">
        <f t="shared" si="9"/>
        <v>0</v>
      </c>
      <c r="W48" s="3"/>
      <c r="X48" s="3">
        <f t="shared" si="10"/>
        <v>3937005.84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","5500"," - ","FREIGHT-IN")</f>
        <v xml:space="preserve">          5500 - FREIGHT-IN</v>
      </c>
      <c r="C49" s="12"/>
      <c r="D49" s="3">
        <v>31628.22</v>
      </c>
      <c r="E49" s="3"/>
      <c r="F49" s="20">
        <f t="shared" si="4"/>
        <v>1.1776255370230915E-2</v>
      </c>
      <c r="G49" s="3"/>
      <c r="H49" s="3"/>
      <c r="I49" s="3"/>
      <c r="J49" s="20">
        <f t="shared" si="5"/>
        <v>0</v>
      </c>
      <c r="K49" s="3"/>
      <c r="L49" s="3">
        <f t="shared" si="6"/>
        <v>31628.22</v>
      </c>
      <c r="M49" s="3"/>
      <c r="N49" s="20">
        <f t="shared" si="7"/>
        <v>0</v>
      </c>
      <c r="O49" s="12"/>
      <c r="P49" s="3">
        <v>123882.42</v>
      </c>
      <c r="Q49" s="3"/>
      <c r="R49" s="20">
        <f t="shared" si="8"/>
        <v>7.9175877635746829E-3</v>
      </c>
      <c r="S49" s="3"/>
      <c r="T49" s="3"/>
      <c r="U49" s="3"/>
      <c r="V49" s="20">
        <f t="shared" si="9"/>
        <v>0</v>
      </c>
      <c r="W49" s="3"/>
      <c r="X49" s="3">
        <f t="shared" si="10"/>
        <v>123882.42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","5501"," - ","FREIGHT-IN-NEW TEXT")</f>
        <v xml:space="preserve">          5501 - FREIGHT-IN-NEW TEXT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","5502"," - ","FREIGHT-IN-USED TEXT")</f>
        <v xml:space="preserve">          5502 - FREIGHT-IN-USED TEXT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","5518"," - ","FREIGHT-IN-STUDY GUIDES")</f>
        <v xml:space="preserve">          5518 - FREIGHT-IN-STUDY GUIDES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","5527"," - ","FREIGHT-IN-SCHOOL SUPPLIES")</f>
        <v xml:space="preserve">          5527 - FREIGHT-IN-SCHOOL SUPPLIES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","5528"," - ","FREIGHT-IN-ART/TECH")</f>
        <v xml:space="preserve">          5528 - FREIGHT-IN-ART/TECH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s="70" customFormat="1" ht="15" hidden="1" customHeight="1" outlineLevel="1" x14ac:dyDescent="0.3">
      <c r="A55" s="42"/>
      <c r="B55" s="12" t="str">
        <f>CONCATENATE("          ","5540"," - ","FREIGHT-IN-LOGO CLOTHING")</f>
        <v xml:space="preserve">          5540 - FREIGHT-IN-LOGO CLOTHING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>
        <v>0</v>
      </c>
      <c r="Q55" s="3"/>
      <c r="R55" s="20">
        <f t="shared" si="8"/>
        <v>0</v>
      </c>
      <c r="S55" s="3"/>
      <c r="T55" s="3"/>
      <c r="U55" s="3"/>
      <c r="V55" s="20">
        <f t="shared" si="9"/>
        <v>0</v>
      </c>
      <c r="W55" s="3"/>
      <c r="X55" s="3">
        <f t="shared" si="10"/>
        <v>0</v>
      </c>
      <c r="Y55" s="3"/>
      <c r="Z55" s="20">
        <f t="shared" si="11"/>
        <v>0</v>
      </c>
    </row>
    <row r="56" spans="1:26" s="70" customFormat="1" ht="15" hidden="1" customHeight="1" outlineLevel="1" x14ac:dyDescent="0.3">
      <c r="A56" s="42"/>
      <c r="B56" s="12" t="str">
        <f>CONCATENATE("          ","5541"," - ","FREIGHT-IN-LOGO GIFTS")</f>
        <v xml:space="preserve">          5541 - FREIGHT-IN-LOGO GIFTS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>
        <v>0</v>
      </c>
      <c r="Q56" s="3"/>
      <c r="R56" s="20">
        <f t="shared" si="8"/>
        <v>0</v>
      </c>
      <c r="S56" s="3"/>
      <c r="T56" s="3"/>
      <c r="U56" s="3"/>
      <c r="V56" s="20">
        <f t="shared" si="9"/>
        <v>0</v>
      </c>
      <c r="W56" s="3"/>
      <c r="X56" s="3">
        <f t="shared" si="10"/>
        <v>0</v>
      </c>
      <c r="Y56" s="3"/>
      <c r="Z56" s="20">
        <f t="shared" si="11"/>
        <v>0</v>
      </c>
    </row>
    <row r="57" spans="1:26" s="70" customFormat="1" ht="15" hidden="1" customHeight="1" outlineLevel="1" x14ac:dyDescent="0.3">
      <c r="A57" s="42"/>
      <c r="B57" s="12" t="str">
        <f>CONCATENATE("          ","5542"," - ","FREIGHT-IN-EVERYDAY GIFTS")</f>
        <v xml:space="preserve">          5542 - FREIGHT-IN-EVERYDAY GIFTS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s="70" customFormat="1" ht="15" hidden="1" customHeight="1" outlineLevel="1" x14ac:dyDescent="0.3">
      <c r="A58" s="42"/>
      <c r="B58" s="12" t="str">
        <f>CONCATENATE("          ","5544"," - ","FREIGHT-IN-ACCESSORIES")</f>
        <v xml:space="preserve">          5544 - FREIGHT-IN-ACCESSORIES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>
        <v>0</v>
      </c>
      <c r="Q58" s="3"/>
      <c r="R58" s="20">
        <f t="shared" si="8"/>
        <v>0</v>
      </c>
      <c r="S58" s="3"/>
      <c r="T58" s="3"/>
      <c r="U58" s="3"/>
      <c r="V58" s="20">
        <f t="shared" si="9"/>
        <v>0</v>
      </c>
      <c r="W58" s="3"/>
      <c r="X58" s="3">
        <f t="shared" si="10"/>
        <v>0</v>
      </c>
      <c r="Y58" s="3"/>
      <c r="Z58" s="20">
        <f t="shared" si="11"/>
        <v>0</v>
      </c>
    </row>
    <row r="59" spans="1:26" s="70" customFormat="1" ht="15" hidden="1" customHeight="1" outlineLevel="1" x14ac:dyDescent="0.3">
      <c r="A59" s="42"/>
      <c r="B59" s="12" t="str">
        <f>CONCATENATE("          ","5545"," - ","FREIGHT-IN-SPECIAL ORDERS")</f>
        <v xml:space="preserve">          5545 - FREIGHT-IN-SPECIAL ORDERS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>
        <v>0</v>
      </c>
      <c r="Q59" s="3"/>
      <c r="R59" s="20">
        <f t="shared" si="8"/>
        <v>0</v>
      </c>
      <c r="S59" s="3"/>
      <c r="T59" s="3"/>
      <c r="U59" s="3"/>
      <c r="V59" s="20">
        <f t="shared" si="9"/>
        <v>0</v>
      </c>
      <c r="W59" s="3"/>
      <c r="X59" s="3">
        <f t="shared" si="10"/>
        <v>0</v>
      </c>
      <c r="Y59" s="3"/>
      <c r="Z59" s="20">
        <f t="shared" si="11"/>
        <v>0</v>
      </c>
    </row>
    <row r="60" spans="1:26" s="70" customFormat="1" ht="15" hidden="1" customHeight="1" outlineLevel="1" x14ac:dyDescent="0.3">
      <c r="A60" s="42"/>
      <c r="B60" s="12" t="str">
        <f>CONCATENATE("          ","5583"," - ","FREIGHT-IN-COMPUTER EQUIPMENT")</f>
        <v xml:space="preserve">          5583 - FREIGHT-IN-COMPUTER EQUIPMENT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>
        <v>0</v>
      </c>
      <c r="Q60" s="3"/>
      <c r="R60" s="20">
        <f t="shared" si="8"/>
        <v>0</v>
      </c>
      <c r="S60" s="3"/>
      <c r="T60" s="3"/>
      <c r="U60" s="3"/>
      <c r="V60" s="20">
        <f t="shared" si="9"/>
        <v>0</v>
      </c>
      <c r="W60" s="3"/>
      <c r="X60" s="3">
        <f t="shared" si="10"/>
        <v>0</v>
      </c>
      <c r="Y60" s="3"/>
      <c r="Z60" s="20">
        <f t="shared" si="11"/>
        <v>0</v>
      </c>
    </row>
    <row r="61" spans="1:26" ht="15" customHeight="1" x14ac:dyDescent="0.3">
      <c r="A61" s="10"/>
      <c r="B61" s="11"/>
      <c r="C61" s="11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O61" s="11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s="63" customFormat="1" ht="15" customHeight="1" x14ac:dyDescent="0.3">
      <c r="A62" s="11"/>
      <c r="B62" s="28" t="s">
        <v>289</v>
      </c>
      <c r="C62" s="28"/>
      <c r="D62" s="21">
        <f>D12-D25</f>
        <v>1704468.7400000002</v>
      </c>
      <c r="E62" s="15"/>
      <c r="F62" s="22">
        <f>IF(D$12=0,0,D62/D$12)</f>
        <v>0.63463132458341709</v>
      </c>
      <c r="G62" s="15"/>
      <c r="H62" s="21">
        <f>H12-H25</f>
        <v>1444868</v>
      </c>
      <c r="I62" s="15"/>
      <c r="J62" s="22">
        <f>IF(H$12=0,0,H62/H$12)</f>
        <v>0.62530911268969802</v>
      </c>
      <c r="K62" s="16"/>
      <c r="L62" s="21">
        <f>+D62-H62</f>
        <v>259600.74000000022</v>
      </c>
      <c r="M62" s="16"/>
      <c r="N62" s="22">
        <f>IF(H62=0,0,L62/H62)</f>
        <v>0.17967090419332438</v>
      </c>
      <c r="O62" s="27"/>
      <c r="P62" s="21">
        <f>P12-P25</f>
        <v>9149865.3399999999</v>
      </c>
      <c r="Q62" s="15"/>
      <c r="R62" s="22">
        <f>IF(P$12=0,0,P62/P$12)</f>
        <v>0.58478726726794727</v>
      </c>
      <c r="S62" s="15"/>
      <c r="T62" s="21">
        <f>T12-T25</f>
        <v>8601458</v>
      </c>
      <c r="U62" s="15"/>
      <c r="V62" s="22">
        <f>IF(T$12=0,0,T62/T$12)</f>
        <v>0.51088969842600773</v>
      </c>
      <c r="W62" s="16"/>
      <c r="X62" s="21">
        <f>+P62-T62</f>
        <v>548407.33999999985</v>
      </c>
      <c r="Y62" s="16"/>
      <c r="Z62" s="22">
        <f>IF(T62=0,0,X62/T62)</f>
        <v>6.375748623082271E-2</v>
      </c>
    </row>
    <row r="63" spans="1:26" ht="15" customHeight="1" x14ac:dyDescent="0.3">
      <c r="A63" s="10"/>
      <c r="B63" s="11"/>
      <c r="C63" s="10"/>
      <c r="D63" s="2"/>
      <c r="E63" s="2"/>
      <c r="F63" s="6"/>
      <c r="G63" s="2"/>
      <c r="H63" s="2"/>
      <c r="I63" s="2"/>
      <c r="J63" s="6"/>
      <c r="K63" s="2"/>
      <c r="L63" s="2"/>
      <c r="M63" s="2"/>
      <c r="N63" s="6"/>
      <c r="O63" s="35"/>
      <c r="P63" s="2"/>
      <c r="Q63" s="2"/>
      <c r="R63" s="6"/>
      <c r="S63" s="2"/>
      <c r="T63" s="2"/>
      <c r="U63" s="2"/>
      <c r="V63" s="6"/>
      <c r="W63" s="2"/>
      <c r="X63" s="2"/>
      <c r="Y63" s="2"/>
      <c r="Z63" s="6"/>
    </row>
    <row r="64" spans="1:26" s="63" customFormat="1" ht="15" customHeight="1" x14ac:dyDescent="0.3">
      <c r="A64" s="11"/>
      <c r="B64" s="27" t="s">
        <v>290</v>
      </c>
      <c r="C64" s="11"/>
      <c r="D64" s="23" cm="1">
        <f t="array" ref="D64">SUM(OSRRefD22x_0)</f>
        <v>1143793.6199999996</v>
      </c>
      <c r="E64" s="23"/>
      <c r="F64" s="29">
        <f t="shared" ref="F64:F95" si="12">IF(D$12=0,0,D64/D$12)</f>
        <v>0.42587302604954858</v>
      </c>
      <c r="G64" s="23"/>
      <c r="H64" s="23" cm="1">
        <f t="array" ref="H64">SUM(OSRRefH22x_0)</f>
        <v>1195430.2353423792</v>
      </c>
      <c r="I64" s="23"/>
      <c r="J64" s="29">
        <f t="shared" ref="J64:J95" si="13">IF(H$12=0,0,H64/H$12)</f>
        <v>0.51735758542952026</v>
      </c>
      <c r="K64" s="5"/>
      <c r="L64" s="23">
        <f t="shared" ref="L64:L95" si="14">+D64-H64</f>
        <v>-51636.615342379548</v>
      </c>
      <c r="M64" s="5"/>
      <c r="N64" s="29">
        <f t="shared" ref="N64:N95" si="15">IF(H64=0,0,L64/H64)</f>
        <v>-4.3195005292458975E-2</v>
      </c>
      <c r="O64" s="11"/>
      <c r="P64" s="23" cm="1">
        <f t="array" ref="P64">SUM(OSRRefP22x_0)</f>
        <v>8196502.9300000016</v>
      </c>
      <c r="Q64" s="23"/>
      <c r="R64" s="29">
        <f t="shared" ref="R64:R95" si="16">IF(P$12=0,0,P64/P$12)</f>
        <v>0.52385585705116222</v>
      </c>
      <c r="S64" s="23"/>
      <c r="T64" s="23" cm="1">
        <f t="array" ref="T64">SUM(OSRRefT22x_0)</f>
        <v>9118426.1413645316</v>
      </c>
      <c r="U64" s="23"/>
      <c r="V64" s="29">
        <f t="shared" ref="V64:V95" si="17">IF(T$12=0,0,T64/T$12)</f>
        <v>0.54159538783791672</v>
      </c>
      <c r="W64" s="5"/>
      <c r="X64" s="23">
        <f t="shared" ref="X64:X95" si="18">+P64-T64</f>
        <v>-921923.21136453003</v>
      </c>
      <c r="Y64" s="5"/>
      <c r="Z64" s="29">
        <f t="shared" ref="Z64:Z95" si="19">IF(T64=0,0,X64/T64)</f>
        <v>-0.10110551942536965</v>
      </c>
    </row>
    <row r="65" spans="1:26" s="69" customFormat="1" ht="15" customHeight="1" outlineLevel="1" collapsed="1" x14ac:dyDescent="0.3">
      <c r="A65" s="25"/>
      <c r="B65" s="14" t="str">
        <f>CONCATENATE("     ","*Benefits                                         ")</f>
        <v xml:space="preserve">     *Benefits                                         </v>
      </c>
      <c r="C65" s="14"/>
      <c r="D65" s="2">
        <f>SUM(OSRRefD22_0x_0)</f>
        <v>153782.93</v>
      </c>
      <c r="E65" s="2"/>
      <c r="F65" s="6">
        <f t="shared" si="12"/>
        <v>5.7258582849820341E-2</v>
      </c>
      <c r="G65" s="2"/>
      <c r="H65" s="2">
        <f>SUM(OSRRefH22_0x_0)</f>
        <v>194840.64955674118</v>
      </c>
      <c r="I65" s="2"/>
      <c r="J65" s="6">
        <f t="shared" si="13"/>
        <v>8.4323020296809284E-2</v>
      </c>
      <c r="K65" s="2"/>
      <c r="L65" s="2">
        <f t="shared" si="14"/>
        <v>-41057.719556741184</v>
      </c>
      <c r="M65" s="2"/>
      <c r="N65" s="6">
        <f t="shared" si="15"/>
        <v>-0.21072460828962911</v>
      </c>
      <c r="O65" s="14"/>
      <c r="P65" s="2">
        <f>SUM(OSRRefP22_0x_0)</f>
        <v>1381285.6300000001</v>
      </c>
      <c r="Q65" s="2"/>
      <c r="R65" s="6">
        <f t="shared" si="16"/>
        <v>8.8280889266528273E-2</v>
      </c>
      <c r="S65" s="2"/>
      <c r="T65" s="2">
        <f>SUM(OSRRefT22_0x_0)</f>
        <v>1612566.5887204856</v>
      </c>
      <c r="U65" s="2"/>
      <c r="V65" s="6">
        <f t="shared" si="17"/>
        <v>9.5779536237143165E-2</v>
      </c>
      <c r="W65" s="2"/>
      <c r="X65" s="2">
        <f t="shared" si="18"/>
        <v>-231280.95872048545</v>
      </c>
      <c r="Y65" s="2"/>
      <c r="Z65" s="6">
        <f t="shared" si="19"/>
        <v>-0.14342412917286021</v>
      </c>
    </row>
    <row r="66" spans="1:26" s="70" customFormat="1" ht="15" hidden="1" customHeight="1" outlineLevel="2" x14ac:dyDescent="0.3">
      <c r="A66" s="26"/>
      <c r="B66" s="12" t="str">
        <f>CONCATENATE("          ","6111"," - ","F.I.C.A.")</f>
        <v xml:space="preserve">          6111 - F.I.C.A.</v>
      </c>
      <c r="C66" s="12"/>
      <c r="D66" s="8">
        <v>27551.31</v>
      </c>
      <c r="E66" s="3"/>
      <c r="F66" s="7">
        <f t="shared" si="12"/>
        <v>1.0258283973754979E-2</v>
      </c>
      <c r="G66" s="3"/>
      <c r="H66" s="8">
        <v>26443.461509289002</v>
      </c>
      <c r="I66" s="3"/>
      <c r="J66" s="7">
        <f t="shared" si="13"/>
        <v>1.1444185526164113E-2</v>
      </c>
      <c r="K66" s="3"/>
      <c r="L66" s="8">
        <f t="shared" si="14"/>
        <v>1107.8484907109996</v>
      </c>
      <c r="M66" s="3"/>
      <c r="N66" s="7">
        <f t="shared" si="15"/>
        <v>4.189498755001636E-2</v>
      </c>
      <c r="O66" s="12"/>
      <c r="P66" s="8">
        <v>215745.71</v>
      </c>
      <c r="Q66" s="3"/>
      <c r="R66" s="7">
        <f t="shared" si="16"/>
        <v>1.3788765133420318E-2</v>
      </c>
      <c r="S66" s="3"/>
      <c r="T66" s="8">
        <v>231643.47447008101</v>
      </c>
      <c r="U66" s="3"/>
      <c r="V66" s="7">
        <f t="shared" si="17"/>
        <v>1.375862845745132E-2</v>
      </c>
      <c r="W66" s="3"/>
      <c r="X66" s="8">
        <f t="shared" si="18"/>
        <v>-15897.76447008102</v>
      </c>
      <c r="Y66" s="3"/>
      <c r="Z66" s="7">
        <f t="shared" si="19"/>
        <v>-6.863031435031583E-2</v>
      </c>
    </row>
    <row r="67" spans="1:26" s="70" customFormat="1" ht="15" hidden="1" customHeight="1" outlineLevel="2" x14ac:dyDescent="0.3">
      <c r="A67" s="26"/>
      <c r="B67" s="12" t="str">
        <f>CONCATENATE("          ","6112"," - ","COMPENSATION INSURANCE")</f>
        <v xml:space="preserve">          6112 - COMPENSATION INSURANCE</v>
      </c>
      <c r="C67" s="12"/>
      <c r="D67" s="8">
        <v>15006.21</v>
      </c>
      <c r="E67" s="3"/>
      <c r="F67" s="7">
        <f t="shared" si="12"/>
        <v>5.5873192073190598E-3</v>
      </c>
      <c r="G67" s="3"/>
      <c r="H67" s="8">
        <v>18701.186154933799</v>
      </c>
      <c r="I67" s="3"/>
      <c r="J67" s="7">
        <f t="shared" si="13"/>
        <v>8.0934882084636936E-3</v>
      </c>
      <c r="K67" s="3"/>
      <c r="L67" s="8">
        <f t="shared" si="14"/>
        <v>-3694.9761549338</v>
      </c>
      <c r="M67" s="3"/>
      <c r="N67" s="7">
        <f t="shared" si="15"/>
        <v>-0.19757977511811362</v>
      </c>
      <c r="O67" s="12"/>
      <c r="P67" s="8">
        <v>98003.36</v>
      </c>
      <c r="Q67" s="3"/>
      <c r="R67" s="7">
        <f t="shared" si="16"/>
        <v>6.2636022441699517E-3</v>
      </c>
      <c r="S67" s="3"/>
      <c r="T67" s="8">
        <v>135724.481942096</v>
      </c>
      <c r="U67" s="3"/>
      <c r="V67" s="7">
        <f t="shared" si="17"/>
        <v>8.0614518664653776E-3</v>
      </c>
      <c r="W67" s="3"/>
      <c r="X67" s="8">
        <f t="shared" si="18"/>
        <v>-37721.121942095997</v>
      </c>
      <c r="Y67" s="3"/>
      <c r="Z67" s="7">
        <f t="shared" si="19"/>
        <v>-0.27792422857203408</v>
      </c>
    </row>
    <row r="68" spans="1:26" s="70" customFormat="1" ht="15" hidden="1" customHeight="1" outlineLevel="2" x14ac:dyDescent="0.3">
      <c r="A68" s="26"/>
      <c r="B68" s="12" t="str">
        <f>CONCATENATE("          ","6113"," - ","GROUP INSURANCE")</f>
        <v xml:space="preserve">          6113 - GROUP INSURANCE</v>
      </c>
      <c r="C68" s="12"/>
      <c r="D68" s="8">
        <v>74775.789999999994</v>
      </c>
      <c r="E68" s="3"/>
      <c r="F68" s="7">
        <f t="shared" si="12"/>
        <v>2.7841554110561991E-2</v>
      </c>
      <c r="G68" s="3"/>
      <c r="H68" s="8">
        <v>96396.076923076893</v>
      </c>
      <c r="I68" s="3"/>
      <c r="J68" s="7">
        <f t="shared" si="13"/>
        <v>4.1718236771481607E-2</v>
      </c>
      <c r="K68" s="3"/>
      <c r="L68" s="8">
        <f t="shared" si="14"/>
        <v>-21620.286923076899</v>
      </c>
      <c r="M68" s="3"/>
      <c r="N68" s="7">
        <f t="shared" si="15"/>
        <v>-0.22428596280250773</v>
      </c>
      <c r="O68" s="12"/>
      <c r="P68" s="8">
        <v>600043.77</v>
      </c>
      <c r="Q68" s="3"/>
      <c r="R68" s="7">
        <f t="shared" si="16"/>
        <v>3.8350067838206756E-2</v>
      </c>
      <c r="S68" s="3"/>
      <c r="T68" s="8">
        <v>804458.21923076897</v>
      </c>
      <c r="U68" s="3"/>
      <c r="V68" s="7">
        <f t="shared" si="17"/>
        <v>4.7781366486836396E-2</v>
      </c>
      <c r="W68" s="3"/>
      <c r="X68" s="8">
        <f t="shared" si="18"/>
        <v>-204414.44923076895</v>
      </c>
      <c r="Y68" s="3"/>
      <c r="Z68" s="7">
        <f t="shared" si="19"/>
        <v>-0.25410200846258008</v>
      </c>
    </row>
    <row r="69" spans="1:26" s="70" customFormat="1" ht="15" hidden="1" customHeight="1" outlineLevel="2" x14ac:dyDescent="0.3">
      <c r="A69" s="26"/>
      <c r="B69" s="12" t="str">
        <f>CONCATENATE("          ","6114"," - ","STATE UNEMPLOYMENT INSURANCE")</f>
        <v xml:space="preserve">          6114 - STATE UNEMPLOYMENT INSURANCE</v>
      </c>
      <c r="C69" s="12"/>
      <c r="D69" s="8">
        <v>1484.75</v>
      </c>
      <c r="E69" s="3"/>
      <c r="F69" s="7">
        <f t="shared" si="12"/>
        <v>5.5282261097685387E-4</v>
      </c>
      <c r="G69" s="3"/>
      <c r="H69" s="8">
        <v>1268.5062364800001</v>
      </c>
      <c r="I69" s="3"/>
      <c r="J69" s="7">
        <f t="shared" si="13"/>
        <v>5.4898337368857028E-4</v>
      </c>
      <c r="K69" s="3"/>
      <c r="L69" s="8">
        <f t="shared" si="14"/>
        <v>216.2437635199999</v>
      </c>
      <c r="M69" s="3"/>
      <c r="N69" s="7">
        <f t="shared" si="15"/>
        <v>0.17047118674012865</v>
      </c>
      <c r="O69" s="12"/>
      <c r="P69" s="8">
        <v>9853.14</v>
      </c>
      <c r="Q69" s="3"/>
      <c r="R69" s="7">
        <f t="shared" si="16"/>
        <v>6.2973503986108955E-4</v>
      </c>
      <c r="S69" s="3"/>
      <c r="T69" s="8">
        <v>9694.9108274913506</v>
      </c>
      <c r="U69" s="3"/>
      <c r="V69" s="7">
        <f t="shared" si="17"/>
        <v>5.7583610463762E-4</v>
      </c>
      <c r="W69" s="3"/>
      <c r="X69" s="8">
        <f t="shared" si="18"/>
        <v>158.22917250864884</v>
      </c>
      <c r="Y69" s="3"/>
      <c r="Z69" s="7">
        <f t="shared" si="19"/>
        <v>1.6320848672477385E-2</v>
      </c>
    </row>
    <row r="70" spans="1:26" s="70" customFormat="1" ht="15" hidden="1" customHeight="1" outlineLevel="2" x14ac:dyDescent="0.3">
      <c r="A70" s="26"/>
      <c r="B70" s="12" t="str">
        <f>CONCATENATE("          ","6115"," - ","P.E.R.S.")</f>
        <v xml:space="preserve">          6115 - P.E.R.S.</v>
      </c>
      <c r="C70" s="12"/>
      <c r="D70" s="8">
        <v>15295.91</v>
      </c>
      <c r="E70" s="3"/>
      <c r="F70" s="7">
        <f t="shared" si="12"/>
        <v>5.6951843094574638E-3</v>
      </c>
      <c r="G70" s="3"/>
      <c r="H70" s="8">
        <v>12048.9513358</v>
      </c>
      <c r="I70" s="3"/>
      <c r="J70" s="7">
        <f t="shared" si="13"/>
        <v>5.2145379845290017E-3</v>
      </c>
      <c r="K70" s="3"/>
      <c r="L70" s="8">
        <f t="shared" si="14"/>
        <v>3246.9586641999995</v>
      </c>
      <c r="M70" s="3"/>
      <c r="N70" s="7">
        <f t="shared" si="15"/>
        <v>0.26948060239504779</v>
      </c>
      <c r="O70" s="12"/>
      <c r="P70" s="8">
        <v>123152.25</v>
      </c>
      <c r="Q70" s="3"/>
      <c r="R70" s="7">
        <f t="shared" si="16"/>
        <v>7.8709210528555233E-3</v>
      </c>
      <c r="S70" s="3"/>
      <c r="T70" s="8">
        <v>104154.90478978799</v>
      </c>
      <c r="U70" s="3"/>
      <c r="V70" s="7">
        <f t="shared" si="17"/>
        <v>6.1863544410313154E-3</v>
      </c>
      <c r="W70" s="3"/>
      <c r="X70" s="8">
        <f t="shared" si="18"/>
        <v>18997.345210212006</v>
      </c>
      <c r="Y70" s="3"/>
      <c r="Z70" s="7">
        <f t="shared" si="19"/>
        <v>0.18239510898266048</v>
      </c>
    </row>
    <row r="71" spans="1:26" s="70" customFormat="1" ht="15" hidden="1" customHeight="1" outlineLevel="2" x14ac:dyDescent="0.3">
      <c r="A71" s="26"/>
      <c r="B71" s="12" t="str">
        <f>CONCATENATE("          ","6116"," - ","EDUCATIONAL BENEFITS")</f>
        <v xml:space="preserve">          6116 - EDUCATIONAL BENEFITS</v>
      </c>
      <c r="C71" s="12"/>
      <c r="D71" s="8"/>
      <c r="E71" s="3"/>
      <c r="F71" s="7">
        <f t="shared" si="12"/>
        <v>0</v>
      </c>
      <c r="G71" s="3"/>
      <c r="H71" s="8">
        <v>0</v>
      </c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/>
      <c r="Q71" s="3"/>
      <c r="R71" s="7">
        <f t="shared" si="16"/>
        <v>0</v>
      </c>
      <c r="S71" s="3"/>
      <c r="T71" s="8">
        <v>0</v>
      </c>
      <c r="U71" s="3"/>
      <c r="V71" s="7">
        <f t="shared" si="17"/>
        <v>0</v>
      </c>
      <c r="W71" s="3"/>
      <c r="X71" s="8">
        <f t="shared" si="18"/>
        <v>0</v>
      </c>
      <c r="Y71" s="3"/>
      <c r="Z71" s="7">
        <f t="shared" si="19"/>
        <v>0</v>
      </c>
    </row>
    <row r="72" spans="1:26" s="70" customFormat="1" ht="15" hidden="1" customHeight="1" outlineLevel="2" x14ac:dyDescent="0.3">
      <c r="A72" s="26"/>
      <c r="B72" s="12" t="str">
        <f>CONCATENATE("          ","6117"," - ","RETIREMENT STAFF HOURLY")</f>
        <v xml:space="preserve">          6117 - RETIREMENT STAFF HOURLY</v>
      </c>
      <c r="C72" s="12"/>
      <c r="D72" s="8">
        <v>2942.39</v>
      </c>
      <c r="E72" s="3"/>
      <c r="F72" s="7">
        <f t="shared" si="12"/>
        <v>1.0955512526096549E-3</v>
      </c>
      <c r="G72" s="3"/>
      <c r="H72" s="8"/>
      <c r="I72" s="3"/>
      <c r="J72" s="7">
        <f t="shared" si="13"/>
        <v>0</v>
      </c>
      <c r="K72" s="3"/>
      <c r="L72" s="8">
        <f t="shared" si="14"/>
        <v>2942.39</v>
      </c>
      <c r="M72" s="3"/>
      <c r="N72" s="7">
        <f t="shared" si="15"/>
        <v>0</v>
      </c>
      <c r="O72" s="12"/>
      <c r="P72" s="8">
        <v>19780.330000000002</v>
      </c>
      <c r="Q72" s="3"/>
      <c r="R72" s="7">
        <f t="shared" si="16"/>
        <v>1.2642027720113089E-3</v>
      </c>
      <c r="S72" s="3"/>
      <c r="T72" s="8"/>
      <c r="U72" s="3"/>
      <c r="V72" s="7">
        <f t="shared" si="17"/>
        <v>0</v>
      </c>
      <c r="W72" s="3"/>
      <c r="X72" s="8">
        <f t="shared" si="18"/>
        <v>19780.330000000002</v>
      </c>
      <c r="Y72" s="3"/>
      <c r="Z72" s="7">
        <f t="shared" si="19"/>
        <v>0</v>
      </c>
    </row>
    <row r="73" spans="1:26" s="70" customFormat="1" ht="15" hidden="1" customHeight="1" outlineLevel="2" x14ac:dyDescent="0.3">
      <c r="A73" s="26"/>
      <c r="B73" s="12" t="str">
        <f>CONCATENATE("          ","6118"," - ","VACATION")</f>
        <v xml:space="preserve">          6118 - VACATION</v>
      </c>
      <c r="C73" s="12"/>
      <c r="D73" s="8">
        <v>20234.740000000002</v>
      </c>
      <c r="E73" s="3"/>
      <c r="F73" s="7">
        <f t="shared" si="12"/>
        <v>7.5340776556577106E-3</v>
      </c>
      <c r="G73" s="3"/>
      <c r="H73" s="8">
        <v>12553.4688542077</v>
      </c>
      <c r="I73" s="3"/>
      <c r="J73" s="7">
        <f t="shared" si="13"/>
        <v>5.4328827757292551E-3</v>
      </c>
      <c r="K73" s="3"/>
      <c r="L73" s="8">
        <f t="shared" si="14"/>
        <v>7681.2711457923015</v>
      </c>
      <c r="M73" s="3"/>
      <c r="N73" s="7">
        <f t="shared" si="15"/>
        <v>0.61188435124986795</v>
      </c>
      <c r="O73" s="12"/>
      <c r="P73" s="8">
        <v>153117.25</v>
      </c>
      <c r="Q73" s="3"/>
      <c r="R73" s="7">
        <f t="shared" si="16"/>
        <v>9.7860476489901108E-3</v>
      </c>
      <c r="S73" s="3"/>
      <c r="T73" s="8">
        <v>110343.377903548</v>
      </c>
      <c r="U73" s="3"/>
      <c r="V73" s="7">
        <f t="shared" si="17"/>
        <v>6.5539231907486666E-3</v>
      </c>
      <c r="W73" s="3"/>
      <c r="X73" s="8">
        <f t="shared" si="18"/>
        <v>42773.872096452003</v>
      </c>
      <c r="Y73" s="3"/>
      <c r="Z73" s="7">
        <f t="shared" si="19"/>
        <v>0.38764330863462398</v>
      </c>
    </row>
    <row r="74" spans="1:26" s="70" customFormat="1" ht="15" hidden="1" customHeight="1" outlineLevel="2" x14ac:dyDescent="0.3">
      <c r="A74" s="26"/>
      <c r="B74" s="12" t="str">
        <f>CONCATENATE("          ","6119"," - ","SICK LEAVE")</f>
        <v xml:space="preserve">          6119 - SICK LEAVE</v>
      </c>
      <c r="C74" s="12"/>
      <c r="D74" s="8">
        <v>-12917.88</v>
      </c>
      <c r="E74" s="3"/>
      <c r="F74" s="7">
        <f t="shared" si="12"/>
        <v>-4.8097633607581619E-3</v>
      </c>
      <c r="G74" s="3"/>
      <c r="H74" s="8">
        <v>18642.998542953799</v>
      </c>
      <c r="I74" s="3"/>
      <c r="J74" s="7">
        <f t="shared" si="13"/>
        <v>8.0683058083989498E-3</v>
      </c>
      <c r="K74" s="3"/>
      <c r="L74" s="8">
        <f t="shared" si="14"/>
        <v>-31560.878542953797</v>
      </c>
      <c r="M74" s="3"/>
      <c r="N74" s="7">
        <f t="shared" si="15"/>
        <v>-1.692907847964316</v>
      </c>
      <c r="O74" s="12"/>
      <c r="P74" s="8">
        <v>98408.71</v>
      </c>
      <c r="Q74" s="3"/>
      <c r="R74" s="7">
        <f t="shared" si="16"/>
        <v>6.2895090209342816E-3</v>
      </c>
      <c r="S74" s="3"/>
      <c r="T74" s="8">
        <v>144768.21955671199</v>
      </c>
      <c r="U74" s="3"/>
      <c r="V74" s="7">
        <f t="shared" si="17"/>
        <v>8.5986110762848195E-3</v>
      </c>
      <c r="W74" s="3"/>
      <c r="X74" s="8">
        <f t="shared" si="18"/>
        <v>-46359.509556711986</v>
      </c>
      <c r="Y74" s="3"/>
      <c r="Z74" s="7">
        <f t="shared" si="19"/>
        <v>-0.32023264290095765</v>
      </c>
    </row>
    <row r="75" spans="1:26" s="70" customFormat="1" ht="15" hidden="1" customHeight="1" outlineLevel="2" x14ac:dyDescent="0.3">
      <c r="A75" s="26"/>
      <c r="B75" s="12" t="str">
        <f>CONCATENATE("          ","6156"," - ","EMPLOYEE MEALS")</f>
        <v xml:space="preserve">          6156 - EMPLOYEE MEALS</v>
      </c>
      <c r="C75" s="12"/>
      <c r="D75" s="8">
        <v>9409.7099999999991</v>
      </c>
      <c r="E75" s="3"/>
      <c r="F75" s="7">
        <f t="shared" si="12"/>
        <v>3.5035530902407888E-3</v>
      </c>
      <c r="G75" s="3"/>
      <c r="H75" s="8">
        <v>8786</v>
      </c>
      <c r="I75" s="3"/>
      <c r="J75" s="7">
        <f t="shared" si="13"/>
        <v>3.8023998483540968E-3</v>
      </c>
      <c r="K75" s="3"/>
      <c r="L75" s="8">
        <f t="shared" si="14"/>
        <v>623.70999999999913</v>
      </c>
      <c r="M75" s="3"/>
      <c r="N75" s="7">
        <f t="shared" si="15"/>
        <v>7.0989073526064095E-2</v>
      </c>
      <c r="O75" s="12"/>
      <c r="P75" s="8">
        <v>63181.11</v>
      </c>
      <c r="Q75" s="3"/>
      <c r="R75" s="7">
        <f t="shared" si="16"/>
        <v>4.0380385160789234E-3</v>
      </c>
      <c r="S75" s="3"/>
      <c r="T75" s="8">
        <v>71779</v>
      </c>
      <c r="U75" s="3"/>
      <c r="V75" s="7">
        <f t="shared" si="17"/>
        <v>4.2633646136876341E-3</v>
      </c>
      <c r="W75" s="3"/>
      <c r="X75" s="8">
        <f t="shared" si="18"/>
        <v>-8597.89</v>
      </c>
      <c r="Y75" s="3"/>
      <c r="Z75" s="7">
        <f t="shared" si="19"/>
        <v>-0.11978280555594253</v>
      </c>
    </row>
    <row r="76" spans="1:26" s="69" customFormat="1" ht="15" customHeight="1" outlineLevel="1" collapsed="1" x14ac:dyDescent="0.3">
      <c r="A76" s="25"/>
      <c r="B76" s="14" t="str">
        <f>CONCATENATE("     ","*Payroll                                          ")</f>
        <v xml:space="preserve">     *Payroll                                          </v>
      </c>
      <c r="C76" s="14"/>
      <c r="D76" s="2">
        <f>SUM(OSRRefD22_1x_0)</f>
        <v>588830.5</v>
      </c>
      <c r="E76" s="2"/>
      <c r="F76" s="6">
        <f t="shared" si="12"/>
        <v>0.21924149818676975</v>
      </c>
      <c r="G76" s="2"/>
      <c r="H76" s="2">
        <f>SUM(OSRRefH22_1x_0)</f>
        <v>577638.58578563808</v>
      </c>
      <c r="I76" s="2"/>
      <c r="J76" s="6">
        <f t="shared" si="13"/>
        <v>0.24999008319995278</v>
      </c>
      <c r="K76" s="2"/>
      <c r="L76" s="2">
        <f t="shared" si="14"/>
        <v>11191.914214361925</v>
      </c>
      <c r="M76" s="2"/>
      <c r="N76" s="6">
        <f t="shared" si="15"/>
        <v>1.9375288441197121E-2</v>
      </c>
      <c r="O76" s="14"/>
      <c r="P76" s="2">
        <f>SUM(OSRRefP22_1x_0)</f>
        <v>3911771.2300000004</v>
      </c>
      <c r="Q76" s="2"/>
      <c r="R76" s="6">
        <f t="shared" si="16"/>
        <v>0.25000958186441213</v>
      </c>
      <c r="S76" s="2"/>
      <c r="T76" s="2">
        <f>SUM(OSRRefT22_1x_0)</f>
        <v>4404068.302644047</v>
      </c>
      <c r="U76" s="2"/>
      <c r="V76" s="6">
        <f t="shared" si="17"/>
        <v>0.26158276038612954</v>
      </c>
      <c r="W76" s="2"/>
      <c r="X76" s="2">
        <f t="shared" si="18"/>
        <v>-492297.07264404651</v>
      </c>
      <c r="Y76" s="2"/>
      <c r="Z76" s="6">
        <f t="shared" si="19"/>
        <v>-0.11178234278257872</v>
      </c>
    </row>
    <row r="77" spans="1:26" s="70" customFormat="1" ht="15" hidden="1" customHeight="1" outlineLevel="2" x14ac:dyDescent="0.3">
      <c r="A77" s="26"/>
      <c r="B77" s="12" t="str">
        <f>CONCATENATE("          ","6001"," - ","ADMINISTRATIVE SALARIES")</f>
        <v xml:space="preserve">          6001 - ADMINISTRATIVE SALARIES</v>
      </c>
      <c r="C77" s="12"/>
      <c r="D77" s="8">
        <v>31946.07</v>
      </c>
      <c r="E77" s="3"/>
      <c r="F77" s="7">
        <f t="shared" si="12"/>
        <v>1.189460166886637E-2</v>
      </c>
      <c r="G77" s="3"/>
      <c r="H77" s="8">
        <v>18547.9230769231</v>
      </c>
      <c r="I77" s="3"/>
      <c r="J77" s="7">
        <f t="shared" si="13"/>
        <v>8.0271591048231093E-3</v>
      </c>
      <c r="K77" s="3"/>
      <c r="L77" s="8">
        <f t="shared" si="14"/>
        <v>13398.1469230769</v>
      </c>
      <c r="M77" s="3"/>
      <c r="N77" s="7">
        <f t="shared" si="15"/>
        <v>0.72235294849516418</v>
      </c>
      <c r="O77" s="12"/>
      <c r="P77" s="8">
        <v>243118.86</v>
      </c>
      <c r="Q77" s="3"/>
      <c r="R77" s="7">
        <f t="shared" si="16"/>
        <v>1.5538241108223638E-2</v>
      </c>
      <c r="S77" s="3"/>
      <c r="T77" s="8">
        <v>162294.32692307699</v>
      </c>
      <c r="U77" s="3"/>
      <c r="V77" s="7">
        <f t="shared" si="17"/>
        <v>9.6395866535630027E-3</v>
      </c>
      <c r="W77" s="3"/>
      <c r="X77" s="8">
        <f t="shared" si="18"/>
        <v>80824.533076922991</v>
      </c>
      <c r="Y77" s="3"/>
      <c r="Z77" s="7">
        <f t="shared" si="19"/>
        <v>0.49801206615947563</v>
      </c>
    </row>
    <row r="78" spans="1:26" s="70" customFormat="1" ht="15" hidden="1" customHeight="1" outlineLevel="2" x14ac:dyDescent="0.3">
      <c r="A78" s="26"/>
      <c r="B78" s="12" t="str">
        <f>CONCATENATE("          ","6002"," - ","STAFF SALARIES")</f>
        <v xml:space="preserve">          6002 - STAFF SALARIES</v>
      </c>
      <c r="C78" s="12"/>
      <c r="D78" s="8">
        <v>126127.47</v>
      </c>
      <c r="E78" s="3"/>
      <c r="F78" s="7">
        <f t="shared" si="12"/>
        <v>4.6961520310695275E-2</v>
      </c>
      <c r="G78" s="3"/>
      <c r="H78" s="8">
        <v>110715.778115715</v>
      </c>
      <c r="I78" s="3"/>
      <c r="J78" s="7">
        <f t="shared" si="13"/>
        <v>4.7915508526929267E-2</v>
      </c>
      <c r="K78" s="3"/>
      <c r="L78" s="8">
        <f t="shared" si="14"/>
        <v>15411.691884284999</v>
      </c>
      <c r="M78" s="3"/>
      <c r="N78" s="7">
        <f t="shared" si="15"/>
        <v>0.13920050192103073</v>
      </c>
      <c r="O78" s="12"/>
      <c r="P78" s="8">
        <v>987046.23</v>
      </c>
      <c r="Q78" s="3"/>
      <c r="R78" s="7">
        <f t="shared" si="16"/>
        <v>6.3084214473131228E-2</v>
      </c>
      <c r="S78" s="3"/>
      <c r="T78" s="8">
        <v>952582.73555096996</v>
      </c>
      <c r="U78" s="3"/>
      <c r="V78" s="7">
        <f t="shared" si="17"/>
        <v>5.6579327189815558E-2</v>
      </c>
      <c r="W78" s="3"/>
      <c r="X78" s="8">
        <f t="shared" si="18"/>
        <v>34463.494449030026</v>
      </c>
      <c r="Y78" s="3"/>
      <c r="Z78" s="7">
        <f t="shared" si="19"/>
        <v>3.6179003841694111E-2</v>
      </c>
    </row>
    <row r="79" spans="1:26" s="70" customFormat="1" ht="15" hidden="1" customHeight="1" outlineLevel="2" x14ac:dyDescent="0.3">
      <c r="A79" s="26"/>
      <c r="B79" s="12" t="str">
        <f>CONCATENATE("          ","6003"," - ","STAFF HOURLY-9 MONTH")</f>
        <v xml:space="preserve">          6003 - STAFF HOURLY-9 MONTH</v>
      </c>
      <c r="C79" s="12"/>
      <c r="D79" s="8"/>
      <c r="E79" s="3"/>
      <c r="F79" s="7">
        <f t="shared" si="12"/>
        <v>0</v>
      </c>
      <c r="G79" s="3"/>
      <c r="H79" s="8">
        <v>0</v>
      </c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0</v>
      </c>
      <c r="U79" s="3"/>
      <c r="V79" s="7">
        <f t="shared" si="17"/>
        <v>0</v>
      </c>
      <c r="W79" s="3"/>
      <c r="X79" s="8">
        <f t="shared" si="18"/>
        <v>0</v>
      </c>
      <c r="Y79" s="3"/>
      <c r="Z79" s="7">
        <f t="shared" si="19"/>
        <v>0</v>
      </c>
    </row>
    <row r="80" spans="1:26" s="70" customFormat="1" ht="15" hidden="1" customHeight="1" outlineLevel="2" x14ac:dyDescent="0.3">
      <c r="A80" s="26"/>
      <c r="B80" s="12" t="str">
        <f>CONCATENATE("          ","6004"," - ","STAFF HOURLY")</f>
        <v xml:space="preserve">          6004 - STAFF HOURLY</v>
      </c>
      <c r="C80" s="12"/>
      <c r="D80" s="8">
        <v>158052.13</v>
      </c>
      <c r="E80" s="3"/>
      <c r="F80" s="7">
        <f t="shared" si="12"/>
        <v>5.8848150312883075E-2</v>
      </c>
      <c r="G80" s="3"/>
      <c r="H80" s="8">
        <v>162593.33336799999</v>
      </c>
      <c r="I80" s="3"/>
      <c r="J80" s="7">
        <f t="shared" si="13"/>
        <v>7.0367045998391789E-2</v>
      </c>
      <c r="K80" s="3"/>
      <c r="L80" s="8">
        <f t="shared" si="14"/>
        <v>-4541.2033679999877</v>
      </c>
      <c r="M80" s="3"/>
      <c r="N80" s="7">
        <f t="shared" si="15"/>
        <v>-2.792982512832683E-2</v>
      </c>
      <c r="O80" s="12"/>
      <c r="P80" s="8">
        <v>927696.32</v>
      </c>
      <c r="Q80" s="3"/>
      <c r="R80" s="7">
        <f t="shared" si="16"/>
        <v>5.9291036061010612E-2</v>
      </c>
      <c r="S80" s="3"/>
      <c r="T80" s="8">
        <v>1333974.8921699999</v>
      </c>
      <c r="U80" s="3"/>
      <c r="V80" s="7">
        <f t="shared" si="17"/>
        <v>7.9232384831571287E-2</v>
      </c>
      <c r="W80" s="3"/>
      <c r="X80" s="8">
        <f t="shared" si="18"/>
        <v>-406278.57216999994</v>
      </c>
      <c r="Y80" s="3"/>
      <c r="Z80" s="7">
        <f t="shared" si="19"/>
        <v>-0.30456238311134898</v>
      </c>
    </row>
    <row r="81" spans="1:26" s="70" customFormat="1" ht="15" hidden="1" customHeight="1" outlineLevel="2" x14ac:dyDescent="0.3">
      <c r="A81" s="26"/>
      <c r="B81" s="12" t="str">
        <f>CONCATENATE("          ","6005"," - ","TEMPORARY WAGES-HOURLY")</f>
        <v xml:space="preserve">          6005 - TEMPORARY WAGES-HOURLY</v>
      </c>
      <c r="C81" s="12"/>
      <c r="D81" s="8">
        <v>73286.87</v>
      </c>
      <c r="E81" s="3"/>
      <c r="F81" s="7">
        <f t="shared" si="12"/>
        <v>2.7287178867635133E-2</v>
      </c>
      <c r="G81" s="3"/>
      <c r="H81" s="8">
        <v>40844.490299999998</v>
      </c>
      <c r="I81" s="3"/>
      <c r="J81" s="7">
        <f t="shared" si="13"/>
        <v>1.7676654191079031E-2</v>
      </c>
      <c r="K81" s="3"/>
      <c r="L81" s="8">
        <f t="shared" si="14"/>
        <v>32442.379699999998</v>
      </c>
      <c r="M81" s="3"/>
      <c r="N81" s="7">
        <f t="shared" si="15"/>
        <v>0.79429023258003539</v>
      </c>
      <c r="O81" s="12"/>
      <c r="P81" s="8">
        <v>528241.12</v>
      </c>
      <c r="Q81" s="3"/>
      <c r="R81" s="7">
        <f t="shared" si="16"/>
        <v>3.376100844598439E-2</v>
      </c>
      <c r="S81" s="3"/>
      <c r="T81" s="8">
        <v>265519.40860000002</v>
      </c>
      <c r="U81" s="3"/>
      <c r="V81" s="7">
        <f t="shared" si="17"/>
        <v>1.5770713591336021E-2</v>
      </c>
      <c r="W81" s="3"/>
      <c r="X81" s="8">
        <f t="shared" si="18"/>
        <v>262721.71139999997</v>
      </c>
      <c r="Y81" s="3"/>
      <c r="Z81" s="7">
        <f t="shared" si="19"/>
        <v>0.9894633043409089</v>
      </c>
    </row>
    <row r="82" spans="1:26" s="70" customFormat="1" ht="15" hidden="1" customHeight="1" outlineLevel="2" x14ac:dyDescent="0.3">
      <c r="A82" s="26"/>
      <c r="B82" s="12" t="str">
        <f>CONCATENATE("          ","6006"," - ","TEMPORARY PART TIME")</f>
        <v xml:space="preserve">          6006 - TEMPORARY PART TIME</v>
      </c>
      <c r="C82" s="12"/>
      <c r="D82" s="8">
        <v>3596</v>
      </c>
      <c r="E82" s="3"/>
      <c r="F82" s="7">
        <f t="shared" si="12"/>
        <v>1.3389123482557782E-3</v>
      </c>
      <c r="G82" s="3"/>
      <c r="H82" s="8">
        <v>0</v>
      </c>
      <c r="I82" s="3"/>
      <c r="J82" s="7">
        <f t="shared" si="13"/>
        <v>0</v>
      </c>
      <c r="K82" s="3"/>
      <c r="L82" s="8">
        <f t="shared" si="14"/>
        <v>3596</v>
      </c>
      <c r="M82" s="3"/>
      <c r="N82" s="7">
        <f t="shared" si="15"/>
        <v>0</v>
      </c>
      <c r="O82" s="12"/>
      <c r="P82" s="8">
        <v>15565.97</v>
      </c>
      <c r="Q82" s="3"/>
      <c r="R82" s="7">
        <f t="shared" si="16"/>
        <v>9.9485410117247132E-4</v>
      </c>
      <c r="S82" s="3"/>
      <c r="T82" s="8">
        <v>0</v>
      </c>
      <c r="U82" s="3"/>
      <c r="V82" s="7">
        <f t="shared" si="17"/>
        <v>0</v>
      </c>
      <c r="W82" s="3"/>
      <c r="X82" s="8">
        <f t="shared" si="18"/>
        <v>15565.97</v>
      </c>
      <c r="Y82" s="3"/>
      <c r="Z82" s="7">
        <f t="shared" si="19"/>
        <v>0</v>
      </c>
    </row>
    <row r="83" spans="1:26" s="70" customFormat="1" ht="15" hidden="1" customHeight="1" outlineLevel="2" x14ac:dyDescent="0.3">
      <c r="A83" s="26"/>
      <c r="B83" s="12" t="str">
        <f>CONCATENATE("          ","6007"," - ","STUDENT HOURLY")</f>
        <v xml:space="preserve">          6007 - STUDENT HOURLY</v>
      </c>
      <c r="C83" s="12"/>
      <c r="D83" s="8">
        <v>128729.48</v>
      </c>
      <c r="E83" s="3"/>
      <c r="F83" s="7">
        <f t="shared" si="12"/>
        <v>4.7930336584133822E-2</v>
      </c>
      <c r="G83" s="3"/>
      <c r="H83" s="8">
        <v>32349.319599999999</v>
      </c>
      <c r="I83" s="3"/>
      <c r="J83" s="7">
        <f t="shared" si="13"/>
        <v>1.4000119274003893E-2</v>
      </c>
      <c r="K83" s="3"/>
      <c r="L83" s="8">
        <f t="shared" si="14"/>
        <v>96380.160399999993</v>
      </c>
      <c r="M83" s="3"/>
      <c r="N83" s="7">
        <f t="shared" si="15"/>
        <v>2.9793566477361089</v>
      </c>
      <c r="O83" s="12"/>
      <c r="P83" s="8">
        <v>989607.78</v>
      </c>
      <c r="Q83" s="3"/>
      <c r="R83" s="7">
        <f t="shared" si="16"/>
        <v>6.3247928557307057E-2</v>
      </c>
      <c r="S83" s="3"/>
      <c r="T83" s="8">
        <v>390067.3652</v>
      </c>
      <c r="U83" s="3"/>
      <c r="V83" s="7">
        <f t="shared" si="17"/>
        <v>2.3168327808245466E-2</v>
      </c>
      <c r="W83" s="3"/>
      <c r="X83" s="8">
        <f t="shared" si="18"/>
        <v>599540.41480000003</v>
      </c>
      <c r="Y83" s="3"/>
      <c r="Z83" s="7">
        <f t="shared" si="19"/>
        <v>1.5370176238470925</v>
      </c>
    </row>
    <row r="84" spans="1:26" s="70" customFormat="1" ht="15" hidden="1" customHeight="1" outlineLevel="2" x14ac:dyDescent="0.3">
      <c r="A84" s="26"/>
      <c r="B84" s="12" t="str">
        <f>CONCATENATE("          ","6008"," - ","STUDENT HOURLY-FICA EXEMPT")</f>
        <v xml:space="preserve">          6008 - STUDENT HOURLY-FICA EXEMPT</v>
      </c>
      <c r="C84" s="12"/>
      <c r="D84" s="8">
        <v>67092.479999999996</v>
      </c>
      <c r="E84" s="3"/>
      <c r="F84" s="7">
        <f t="shared" si="12"/>
        <v>2.4980798094300285E-2</v>
      </c>
      <c r="G84" s="3"/>
      <c r="H84" s="8">
        <v>212587.74132500001</v>
      </c>
      <c r="I84" s="3"/>
      <c r="J84" s="7">
        <f t="shared" si="13"/>
        <v>9.2003596104725693E-2</v>
      </c>
      <c r="K84" s="3"/>
      <c r="L84" s="8">
        <f t="shared" si="14"/>
        <v>-145495.26132500003</v>
      </c>
      <c r="M84" s="3"/>
      <c r="N84" s="7">
        <f t="shared" si="15"/>
        <v>-0.68440099329419801</v>
      </c>
      <c r="O84" s="12"/>
      <c r="P84" s="8">
        <v>220494.95</v>
      </c>
      <c r="Q84" s="3"/>
      <c r="R84" s="7">
        <f t="shared" si="16"/>
        <v>1.4092299117582717E-2</v>
      </c>
      <c r="S84" s="3"/>
      <c r="T84" s="8">
        <v>1299629.5741999999</v>
      </c>
      <c r="U84" s="3"/>
      <c r="V84" s="7">
        <f t="shared" si="17"/>
        <v>7.7192420311598203E-2</v>
      </c>
      <c r="W84" s="3"/>
      <c r="X84" s="8">
        <f t="shared" si="18"/>
        <v>-1079134.6242</v>
      </c>
      <c r="Y84" s="3"/>
      <c r="Z84" s="7">
        <f t="shared" si="19"/>
        <v>-0.83034015662830096</v>
      </c>
    </row>
    <row r="85" spans="1:26" s="70" customFormat="1" ht="15" hidden="1" customHeight="1" outlineLevel="2" x14ac:dyDescent="0.3">
      <c r="A85" s="26"/>
      <c r="B85" s="12" t="str">
        <f>CONCATENATE("          ","6009"," - ","TEMPORARY-SEASONAL")</f>
        <v xml:space="preserve">          6009 - TEMPORARY-SEASONAL</v>
      </c>
      <c r="C85" s="12"/>
      <c r="D85" s="8"/>
      <c r="E85" s="3"/>
      <c r="F85" s="7">
        <f t="shared" si="12"/>
        <v>0</v>
      </c>
      <c r="G85" s="3"/>
      <c r="H85" s="8">
        <v>0</v>
      </c>
      <c r="I85" s="3"/>
      <c r="J85" s="7">
        <f t="shared" si="13"/>
        <v>0</v>
      </c>
      <c r="K85" s="3"/>
      <c r="L85" s="8">
        <f t="shared" si="14"/>
        <v>0</v>
      </c>
      <c r="M85" s="3"/>
      <c r="N85" s="7">
        <f t="shared" si="15"/>
        <v>0</v>
      </c>
      <c r="O85" s="12"/>
      <c r="P85" s="8"/>
      <c r="Q85" s="3"/>
      <c r="R85" s="7">
        <f t="shared" si="16"/>
        <v>0</v>
      </c>
      <c r="S85" s="3"/>
      <c r="T85" s="8">
        <v>0</v>
      </c>
      <c r="U85" s="3"/>
      <c r="V85" s="7">
        <f t="shared" si="17"/>
        <v>0</v>
      </c>
      <c r="W85" s="3"/>
      <c r="X85" s="8">
        <f t="shared" si="18"/>
        <v>0</v>
      </c>
      <c r="Y85" s="3"/>
      <c r="Z85" s="7">
        <f t="shared" si="19"/>
        <v>0</v>
      </c>
    </row>
    <row r="86" spans="1:26" s="70" customFormat="1" ht="15" hidden="1" customHeight="1" outlineLevel="2" x14ac:dyDescent="0.3">
      <c r="A86" s="26"/>
      <c r="B86" s="12" t="str">
        <f>CONCATENATE("          ","6010"," - ","GRATUITY")</f>
        <v xml:space="preserve">          6010 - GRATUITY</v>
      </c>
      <c r="C86" s="12"/>
      <c r="D86" s="8"/>
      <c r="E86" s="3"/>
      <c r="F86" s="7">
        <f t="shared" si="12"/>
        <v>0</v>
      </c>
      <c r="G86" s="3"/>
      <c r="H86" s="8">
        <v>0</v>
      </c>
      <c r="I86" s="3"/>
      <c r="J86" s="7">
        <f t="shared" si="13"/>
        <v>0</v>
      </c>
      <c r="K86" s="3"/>
      <c r="L86" s="8">
        <f t="shared" si="14"/>
        <v>0</v>
      </c>
      <c r="M86" s="3"/>
      <c r="N86" s="7">
        <f t="shared" si="15"/>
        <v>0</v>
      </c>
      <c r="O86" s="12"/>
      <c r="P86" s="8"/>
      <c r="Q86" s="3"/>
      <c r="R86" s="7">
        <f t="shared" si="16"/>
        <v>0</v>
      </c>
      <c r="S86" s="3"/>
      <c r="T86" s="8">
        <v>0</v>
      </c>
      <c r="U86" s="3"/>
      <c r="V86" s="7">
        <f t="shared" si="17"/>
        <v>0</v>
      </c>
      <c r="W86" s="3"/>
      <c r="X86" s="8">
        <f t="shared" si="18"/>
        <v>0</v>
      </c>
      <c r="Y86" s="3"/>
      <c r="Z86" s="7">
        <f t="shared" si="19"/>
        <v>0</v>
      </c>
    </row>
    <row r="87" spans="1:26" s="69" customFormat="1" ht="15" customHeight="1" outlineLevel="1" collapsed="1" x14ac:dyDescent="0.3">
      <c r="A87" s="25"/>
      <c r="B87" s="14" t="str">
        <f>CONCATENATE("     ","Advertising/Promo                                 ")</f>
        <v xml:space="preserve">     Advertising/Promo                                 </v>
      </c>
      <c r="C87" s="14"/>
      <c r="D87" s="2">
        <f>SUM(OSRRefD22_2x_0)</f>
        <v>1075.52</v>
      </c>
      <c r="E87" s="2"/>
      <c r="F87" s="6">
        <f t="shared" si="12"/>
        <v>4.0045244960958132E-4</v>
      </c>
      <c r="G87" s="2"/>
      <c r="H87" s="2">
        <f>SUM(OSRRefH22_2x_0)</f>
        <v>1919</v>
      </c>
      <c r="I87" s="2"/>
      <c r="J87" s="6">
        <f t="shared" si="13"/>
        <v>8.3050367732660042E-4</v>
      </c>
      <c r="K87" s="2"/>
      <c r="L87" s="2">
        <f t="shared" si="14"/>
        <v>-843.48</v>
      </c>
      <c r="M87" s="2"/>
      <c r="N87" s="6">
        <f t="shared" si="15"/>
        <v>-0.43954142782699324</v>
      </c>
      <c r="O87" s="14"/>
      <c r="P87" s="2">
        <f>SUM(OSRRefP22_2x_0)</f>
        <v>12299.59</v>
      </c>
      <c r="Q87" s="2"/>
      <c r="R87" s="6">
        <f t="shared" si="16"/>
        <v>7.8609283933091982E-4</v>
      </c>
      <c r="S87" s="2"/>
      <c r="T87" s="2">
        <f>SUM(OSRRefT22_2x_0)</f>
        <v>18752</v>
      </c>
      <c r="U87" s="2"/>
      <c r="V87" s="6">
        <f t="shared" si="17"/>
        <v>1.1137883397075818E-3</v>
      </c>
      <c r="W87" s="2"/>
      <c r="X87" s="2">
        <f t="shared" si="18"/>
        <v>-6452.41</v>
      </c>
      <c r="Y87" s="2"/>
      <c r="Z87" s="6">
        <f t="shared" si="19"/>
        <v>-0.34409183020477813</v>
      </c>
    </row>
    <row r="88" spans="1:26" s="70" customFormat="1" ht="15" hidden="1" customHeight="1" outlineLevel="2" x14ac:dyDescent="0.3">
      <c r="A88" s="26"/>
      <c r="B88" s="12" t="str">
        <f>CONCATENATE("          ","6362"," - ","ADVERTISING EXPENSE")</f>
        <v xml:space="preserve">          6362 - ADVERTISING EXPENSE</v>
      </c>
      <c r="C88" s="12"/>
      <c r="D88" s="8">
        <v>1075.52</v>
      </c>
      <c r="E88" s="3"/>
      <c r="F88" s="7">
        <f t="shared" si="12"/>
        <v>4.0045244960958132E-4</v>
      </c>
      <c r="G88" s="3"/>
      <c r="H88" s="8">
        <v>1919</v>
      </c>
      <c r="I88" s="3"/>
      <c r="J88" s="7">
        <f t="shared" si="13"/>
        <v>8.3050367732660042E-4</v>
      </c>
      <c r="K88" s="3"/>
      <c r="L88" s="8">
        <f t="shared" si="14"/>
        <v>-843.48</v>
      </c>
      <c r="M88" s="3"/>
      <c r="N88" s="7">
        <f t="shared" si="15"/>
        <v>-0.43954142782699324</v>
      </c>
      <c r="O88" s="12"/>
      <c r="P88" s="8">
        <v>12299.59</v>
      </c>
      <c r="Q88" s="3"/>
      <c r="R88" s="7">
        <f t="shared" si="16"/>
        <v>7.8609283933091982E-4</v>
      </c>
      <c r="S88" s="3"/>
      <c r="T88" s="8">
        <v>18752</v>
      </c>
      <c r="U88" s="3"/>
      <c r="V88" s="7">
        <f t="shared" si="17"/>
        <v>1.1137883397075818E-3</v>
      </c>
      <c r="W88" s="3"/>
      <c r="X88" s="8">
        <f t="shared" si="18"/>
        <v>-6452.41</v>
      </c>
      <c r="Y88" s="3"/>
      <c r="Z88" s="7">
        <f t="shared" si="19"/>
        <v>-0.34409183020477813</v>
      </c>
    </row>
    <row r="89" spans="1:26" s="69" customFormat="1" ht="15" customHeight="1" outlineLevel="1" collapsed="1" x14ac:dyDescent="0.3">
      <c r="A89" s="25"/>
      <c r="B89" s="14" t="str">
        <f>CONCATENATE("     ","Bad Debts/Over/Short                              ")</f>
        <v xml:space="preserve">     Bad Debts/Over/Short                              </v>
      </c>
      <c r="C89" s="14"/>
      <c r="D89" s="2">
        <f>SUM(OSRRefD22_3x_0)</f>
        <v>-59.85</v>
      </c>
      <c r="E89" s="2"/>
      <c r="F89" s="6">
        <f t="shared" si="12"/>
        <v>-2.2284177987516221E-5</v>
      </c>
      <c r="G89" s="2"/>
      <c r="H89" s="2">
        <f>SUM(OSRRefH22_3x_0)</f>
        <v>278</v>
      </c>
      <c r="I89" s="2"/>
      <c r="J89" s="6">
        <f t="shared" si="13"/>
        <v>1.2031267446419746E-4</v>
      </c>
      <c r="K89" s="2"/>
      <c r="L89" s="2">
        <f t="shared" si="14"/>
        <v>-337.85</v>
      </c>
      <c r="M89" s="2"/>
      <c r="N89" s="6">
        <f t="shared" si="15"/>
        <v>-1.2152877697841726</v>
      </c>
      <c r="O89" s="14"/>
      <c r="P89" s="2">
        <f>SUM(OSRRefP22_3x_0)</f>
        <v>11.5</v>
      </c>
      <c r="Q89" s="2"/>
      <c r="R89" s="6">
        <f t="shared" si="16"/>
        <v>7.3498934942592211E-7</v>
      </c>
      <c r="S89" s="2"/>
      <c r="T89" s="2">
        <f>SUM(OSRRefT22_3x_0)</f>
        <v>2186</v>
      </c>
      <c r="U89" s="2"/>
      <c r="V89" s="6">
        <f t="shared" si="17"/>
        <v>1.2983902040319826E-4</v>
      </c>
      <c r="W89" s="2"/>
      <c r="X89" s="2">
        <f t="shared" si="18"/>
        <v>-2174.5</v>
      </c>
      <c r="Y89" s="2"/>
      <c r="Z89" s="6">
        <f t="shared" si="19"/>
        <v>-0.99473924977127171</v>
      </c>
    </row>
    <row r="90" spans="1:26" s="70" customFormat="1" ht="15" hidden="1" customHeight="1" outlineLevel="2" x14ac:dyDescent="0.3">
      <c r="A90" s="26"/>
      <c r="B90" s="12" t="str">
        <f>CONCATENATE("          ","6272"," - ","CASH (OVER/SHORT)")</f>
        <v xml:space="preserve">          6272 - CASH (OVER/SHORT)</v>
      </c>
      <c r="C90" s="12"/>
      <c r="D90" s="8">
        <v>-59.85</v>
      </c>
      <c r="E90" s="3"/>
      <c r="F90" s="7">
        <f t="shared" si="12"/>
        <v>-2.2284177987516221E-5</v>
      </c>
      <c r="G90" s="3"/>
      <c r="H90" s="8">
        <v>278</v>
      </c>
      <c r="I90" s="3"/>
      <c r="J90" s="7">
        <f t="shared" si="13"/>
        <v>1.2031267446419746E-4</v>
      </c>
      <c r="K90" s="3"/>
      <c r="L90" s="8">
        <f t="shared" si="14"/>
        <v>-337.85</v>
      </c>
      <c r="M90" s="3"/>
      <c r="N90" s="7">
        <f t="shared" si="15"/>
        <v>-1.2152877697841726</v>
      </c>
      <c r="O90" s="12"/>
      <c r="P90" s="8">
        <v>11.5</v>
      </c>
      <c r="Q90" s="3"/>
      <c r="R90" s="7">
        <f t="shared" si="16"/>
        <v>7.3498934942592211E-7</v>
      </c>
      <c r="S90" s="3"/>
      <c r="T90" s="8">
        <v>2186</v>
      </c>
      <c r="U90" s="3"/>
      <c r="V90" s="7">
        <f t="shared" si="17"/>
        <v>1.2983902040319826E-4</v>
      </c>
      <c r="W90" s="3"/>
      <c r="X90" s="8">
        <f t="shared" si="18"/>
        <v>-2174.5</v>
      </c>
      <c r="Y90" s="3"/>
      <c r="Z90" s="7">
        <f t="shared" si="19"/>
        <v>-0.99473924977127171</v>
      </c>
    </row>
    <row r="91" spans="1:26" s="69" customFormat="1" ht="15" customHeight="1" outlineLevel="1" collapsed="1" x14ac:dyDescent="0.3">
      <c r="A91" s="25"/>
      <c r="B91" s="14" t="str">
        <f>CONCATENATE("     ","Bank/card Fees                                    ")</f>
        <v xml:space="preserve">     Bank/card Fees                                    </v>
      </c>
      <c r="C91" s="14"/>
      <c r="D91" s="2">
        <f>SUM(OSRRefD22_4x_0)</f>
        <v>26930.639999999999</v>
      </c>
      <c r="E91" s="2"/>
      <c r="F91" s="6">
        <f t="shared" si="12"/>
        <v>1.002718755351251E-2</v>
      </c>
      <c r="G91" s="2"/>
      <c r="H91" s="2">
        <f>SUM(OSRRefH22_4x_0)</f>
        <v>33547</v>
      </c>
      <c r="I91" s="2"/>
      <c r="J91" s="6">
        <f t="shared" si="13"/>
        <v>1.4518450684354072E-2</v>
      </c>
      <c r="K91" s="2"/>
      <c r="L91" s="2">
        <f t="shared" si="14"/>
        <v>-6616.3600000000006</v>
      </c>
      <c r="M91" s="2"/>
      <c r="N91" s="6">
        <f t="shared" si="15"/>
        <v>-0.19722657763734464</v>
      </c>
      <c r="O91" s="14"/>
      <c r="P91" s="2">
        <f>SUM(OSRRefP22_4x_0)</f>
        <v>136592.15</v>
      </c>
      <c r="Q91" s="2"/>
      <c r="R91" s="6">
        <f t="shared" si="16"/>
        <v>8.7298935187119977E-3</v>
      </c>
      <c r="S91" s="2"/>
      <c r="T91" s="2">
        <f>SUM(OSRRefT22_4x_0)</f>
        <v>223053.25</v>
      </c>
      <c r="U91" s="2"/>
      <c r="V91" s="6">
        <f t="shared" si="17"/>
        <v>1.3248405982502143E-2</v>
      </c>
      <c r="W91" s="2"/>
      <c r="X91" s="2">
        <f t="shared" si="18"/>
        <v>-86461.1</v>
      </c>
      <c r="Y91" s="2"/>
      <c r="Z91" s="6">
        <f t="shared" si="19"/>
        <v>-0.38762537645158723</v>
      </c>
    </row>
    <row r="92" spans="1:26" s="70" customFormat="1" ht="15" hidden="1" customHeight="1" outlineLevel="2" x14ac:dyDescent="0.3">
      <c r="A92" s="26"/>
      <c r="B92" s="12" t="str">
        <f>CONCATENATE("          ","6381"," - ","BANK/CREDIT CARD FEES")</f>
        <v xml:space="preserve">          6381 - BANK/CREDIT CARD FEES</v>
      </c>
      <c r="C92" s="12"/>
      <c r="D92" s="8">
        <v>26930.639999999999</v>
      </c>
      <c r="E92" s="3"/>
      <c r="F92" s="7">
        <f t="shared" si="12"/>
        <v>1.002718755351251E-2</v>
      </c>
      <c r="G92" s="3"/>
      <c r="H92" s="8">
        <v>33547</v>
      </c>
      <c r="I92" s="3"/>
      <c r="J92" s="7">
        <f t="shared" si="13"/>
        <v>1.4518450684354072E-2</v>
      </c>
      <c r="K92" s="3"/>
      <c r="L92" s="8">
        <f t="shared" si="14"/>
        <v>-6616.3600000000006</v>
      </c>
      <c r="M92" s="3"/>
      <c r="N92" s="7">
        <f t="shared" si="15"/>
        <v>-0.19722657763734464</v>
      </c>
      <c r="O92" s="12"/>
      <c r="P92" s="8">
        <v>136592.15</v>
      </c>
      <c r="Q92" s="3"/>
      <c r="R92" s="7">
        <f t="shared" si="16"/>
        <v>8.7298935187119977E-3</v>
      </c>
      <c r="S92" s="3"/>
      <c r="T92" s="8">
        <v>223053.25</v>
      </c>
      <c r="U92" s="3"/>
      <c r="V92" s="7">
        <f t="shared" si="17"/>
        <v>1.3248405982502143E-2</v>
      </c>
      <c r="W92" s="3"/>
      <c r="X92" s="8">
        <f t="shared" si="18"/>
        <v>-86461.1</v>
      </c>
      <c r="Y92" s="3"/>
      <c r="Z92" s="7">
        <f t="shared" si="19"/>
        <v>-0.38762537645158723</v>
      </c>
    </row>
    <row r="93" spans="1:26" s="69" customFormat="1" ht="15" customHeight="1" outlineLevel="1" collapsed="1" x14ac:dyDescent="0.3">
      <c r="A93" s="25"/>
      <c r="B93" s="14" t="str">
        <f>CONCATENATE("     ","Depreciation                                      ")</f>
        <v xml:space="preserve">     Depreciation                                      </v>
      </c>
      <c r="C93" s="14"/>
      <c r="D93" s="2">
        <f>SUM(OSRRefD22_5x_0)</f>
        <v>67687.31</v>
      </c>
      <c r="E93" s="2"/>
      <c r="F93" s="6">
        <f t="shared" si="12"/>
        <v>2.5202273409125921E-2</v>
      </c>
      <c r="G93" s="2"/>
      <c r="H93" s="2">
        <f>SUM(OSRRefH22_5x_0)</f>
        <v>67012</v>
      </c>
      <c r="I93" s="2"/>
      <c r="J93" s="6">
        <f t="shared" si="13"/>
        <v>2.9001413457535253E-2</v>
      </c>
      <c r="K93" s="2"/>
      <c r="L93" s="2">
        <f t="shared" si="14"/>
        <v>675.30999999999767</v>
      </c>
      <c r="M93" s="2"/>
      <c r="N93" s="6">
        <f t="shared" si="15"/>
        <v>1.0077448815137552E-2</v>
      </c>
      <c r="O93" s="14"/>
      <c r="P93" s="2">
        <f>SUM(OSRRefP22_5x_0)</f>
        <v>563595.22</v>
      </c>
      <c r="Q93" s="2"/>
      <c r="R93" s="6">
        <f t="shared" si="16"/>
        <v>3.6020563833683426E-2</v>
      </c>
      <c r="S93" s="2"/>
      <c r="T93" s="2">
        <f>SUM(OSRRefT22_5x_0)</f>
        <v>558191</v>
      </c>
      <c r="U93" s="2"/>
      <c r="V93" s="6">
        <f t="shared" si="17"/>
        <v>3.3154150337548788E-2</v>
      </c>
      <c r="W93" s="2"/>
      <c r="X93" s="2">
        <f t="shared" si="18"/>
        <v>5404.2199999999721</v>
      </c>
      <c r="Y93" s="2"/>
      <c r="Z93" s="6">
        <f t="shared" si="19"/>
        <v>9.6816681028536328E-3</v>
      </c>
    </row>
    <row r="94" spans="1:26" s="70" customFormat="1" ht="15" hidden="1" customHeight="1" outlineLevel="2" x14ac:dyDescent="0.3">
      <c r="A94" s="26"/>
      <c r="B94" s="12" t="str">
        <f>CONCATENATE("          ","6321"," - ","BUILDING DEPRECIATION")</f>
        <v xml:space="preserve">          6321 - BUILDING DEPRECIATION</v>
      </c>
      <c r="C94" s="12"/>
      <c r="D94" s="8">
        <v>41941.620000000003</v>
      </c>
      <c r="E94" s="3"/>
      <c r="F94" s="7">
        <f t="shared" si="12"/>
        <v>1.5616282793062156E-2</v>
      </c>
      <c r="G94" s="3"/>
      <c r="H94" s="8"/>
      <c r="I94" s="3"/>
      <c r="J94" s="7">
        <f t="shared" si="13"/>
        <v>0</v>
      </c>
      <c r="K94" s="3"/>
      <c r="L94" s="8">
        <f t="shared" si="14"/>
        <v>41941.620000000003</v>
      </c>
      <c r="M94" s="3"/>
      <c r="N94" s="7">
        <f t="shared" si="15"/>
        <v>0</v>
      </c>
      <c r="O94" s="12"/>
      <c r="P94" s="8">
        <v>354879.84</v>
      </c>
      <c r="Q94" s="3"/>
      <c r="R94" s="7">
        <f t="shared" si="16"/>
        <v>2.268112197617177E-2</v>
      </c>
      <c r="S94" s="3"/>
      <c r="T94" s="8"/>
      <c r="U94" s="3"/>
      <c r="V94" s="7">
        <f t="shared" si="17"/>
        <v>0</v>
      </c>
      <c r="W94" s="3"/>
      <c r="X94" s="8">
        <f t="shared" si="18"/>
        <v>354879.84</v>
      </c>
      <c r="Y94" s="3"/>
      <c r="Z94" s="7">
        <f t="shared" si="19"/>
        <v>0</v>
      </c>
    </row>
    <row r="95" spans="1:26" s="70" customFormat="1" ht="15" hidden="1" customHeight="1" outlineLevel="2" x14ac:dyDescent="0.3">
      <c r="A95" s="26"/>
      <c r="B95" s="12" t="str">
        <f>CONCATENATE("          ","6322"," - ","EQUIPMENT DEPRECIATION EXPENSE")</f>
        <v xml:space="preserve">          6322 - EQUIPMENT DEPRECIATION EXPENSE</v>
      </c>
      <c r="C95" s="12"/>
      <c r="D95" s="8">
        <v>25745.69</v>
      </c>
      <c r="E95" s="3"/>
      <c r="F95" s="7">
        <f t="shared" si="12"/>
        <v>9.5859906160637668E-3</v>
      </c>
      <c r="G95" s="3"/>
      <c r="H95" s="8">
        <v>67012</v>
      </c>
      <c r="I95" s="3"/>
      <c r="J95" s="7">
        <f t="shared" si="13"/>
        <v>2.9001413457535253E-2</v>
      </c>
      <c r="K95" s="3"/>
      <c r="L95" s="8">
        <f t="shared" si="14"/>
        <v>-41266.31</v>
      </c>
      <c r="M95" s="3"/>
      <c r="N95" s="7">
        <f t="shared" si="15"/>
        <v>-0.61580478123321192</v>
      </c>
      <c r="O95" s="12"/>
      <c r="P95" s="8">
        <v>208715.38</v>
      </c>
      <c r="Q95" s="3"/>
      <c r="R95" s="7">
        <f t="shared" si="16"/>
        <v>1.3339441857511663E-2</v>
      </c>
      <c r="S95" s="3"/>
      <c r="T95" s="8">
        <v>558191</v>
      </c>
      <c r="U95" s="3"/>
      <c r="V95" s="7">
        <f t="shared" si="17"/>
        <v>3.3154150337548788E-2</v>
      </c>
      <c r="W95" s="3"/>
      <c r="X95" s="8">
        <f t="shared" si="18"/>
        <v>-349475.62</v>
      </c>
      <c r="Y95" s="3"/>
      <c r="Z95" s="7">
        <f t="shared" si="19"/>
        <v>-0.62608608881189409</v>
      </c>
    </row>
    <row r="96" spans="1:26" s="69" customFormat="1" ht="15" customHeight="1" outlineLevel="1" collapsed="1" x14ac:dyDescent="0.3">
      <c r="A96" s="25"/>
      <c r="B96" s="14" t="str">
        <f>CONCATENATE("     ","Discounts and Markdowns                           ")</f>
        <v xml:space="preserve">     Discounts and Markdowns                           </v>
      </c>
      <c r="C96" s="14"/>
      <c r="D96" s="2">
        <f>SUM(OSRRefD22_6x_0)</f>
        <v>0</v>
      </c>
      <c r="E96" s="2"/>
      <c r="F96" s="6">
        <f t="shared" ref="F96:F127" si="20">IF(D$12=0,0,D96/D$12)</f>
        <v>0</v>
      </c>
      <c r="G96" s="2"/>
      <c r="H96" s="2">
        <f>SUM(OSRRefH22_6x_0)</f>
        <v>0</v>
      </c>
      <c r="I96" s="2"/>
      <c r="J96" s="6">
        <f t="shared" ref="J96:J127" si="21">IF(H$12=0,0,H96/H$12)</f>
        <v>0</v>
      </c>
      <c r="K96" s="2"/>
      <c r="L96" s="2">
        <f t="shared" ref="L96:L127" si="22">+D96-H96</f>
        <v>0</v>
      </c>
      <c r="M96" s="2"/>
      <c r="N96" s="6">
        <f t="shared" ref="N96:N127" si="23">IF(H96=0,0,L96/H96)</f>
        <v>0</v>
      </c>
      <c r="O96" s="14"/>
      <c r="P96" s="2">
        <f>SUM(OSRRefP22_6x_0)</f>
        <v>2064.5499999999997</v>
      </c>
      <c r="Q96" s="2"/>
      <c r="R96" s="6">
        <f t="shared" ref="R96:R127" si="24">IF(P$12=0,0,P96/P$12)</f>
        <v>1.3194976185715543E-4</v>
      </c>
      <c r="S96" s="2"/>
      <c r="T96" s="2">
        <f>SUM(OSRRefT22_6x_0)</f>
        <v>0</v>
      </c>
      <c r="U96" s="2"/>
      <c r="V96" s="6">
        <f t="shared" ref="V96:V127" si="25">IF(T$12=0,0,T96/T$12)</f>
        <v>0</v>
      </c>
      <c r="W96" s="2"/>
      <c r="X96" s="2">
        <f t="shared" ref="X96:X127" si="26">+P96-T96</f>
        <v>2064.5499999999997</v>
      </c>
      <c r="Y96" s="2"/>
      <c r="Z96" s="6">
        <f t="shared" ref="Z96:Z127" si="27">IF(T96=0,0,X96/T96)</f>
        <v>0</v>
      </c>
    </row>
    <row r="97" spans="1:26" s="70" customFormat="1" ht="15" hidden="1" customHeight="1" outlineLevel="2" x14ac:dyDescent="0.3">
      <c r="A97" s="26"/>
      <c r="B97" s="12" t="str">
        <f>CONCATENATE("          ","6382"," - ","DISCOUNTS/MARK DOWNS")</f>
        <v xml:space="preserve">          6382 - DISCOUNTS/MARK DOWNS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>
        <v>2171.35</v>
      </c>
      <c r="Q97" s="3"/>
      <c r="R97" s="7">
        <f t="shared" si="24"/>
        <v>1.3877557598921531E-4</v>
      </c>
      <c r="S97" s="3"/>
      <c r="T97" s="8">
        <v>0</v>
      </c>
      <c r="U97" s="3"/>
      <c r="V97" s="7">
        <f t="shared" si="25"/>
        <v>0</v>
      </c>
      <c r="W97" s="3"/>
      <c r="X97" s="8">
        <f t="shared" si="26"/>
        <v>2171.35</v>
      </c>
      <c r="Y97" s="3"/>
      <c r="Z97" s="7">
        <f t="shared" si="27"/>
        <v>0</v>
      </c>
    </row>
    <row r="98" spans="1:26" s="70" customFormat="1" ht="15" hidden="1" customHeight="1" outlineLevel="2" x14ac:dyDescent="0.3">
      <c r="A98" s="26"/>
      <c r="B98" s="12" t="str">
        <f>CONCATENATE("          ","9175"," - ","EARNED DISCOUNTS")</f>
        <v xml:space="preserve">          9175 - EARNED DISCOUNTS</v>
      </c>
      <c r="C98" s="12"/>
      <c r="D98" s="8">
        <v>0</v>
      </c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>
        <v>-106.8</v>
      </c>
      <c r="Q98" s="3"/>
      <c r="R98" s="7">
        <f t="shared" si="24"/>
        <v>-6.8258141320598682E-6</v>
      </c>
      <c r="S98" s="3"/>
      <c r="T98" s="8"/>
      <c r="U98" s="3"/>
      <c r="V98" s="7">
        <f t="shared" si="25"/>
        <v>0</v>
      </c>
      <c r="W98" s="3"/>
      <c r="X98" s="8">
        <f t="shared" si="26"/>
        <v>-106.8</v>
      </c>
      <c r="Y98" s="3"/>
      <c r="Z98" s="7">
        <f t="shared" si="27"/>
        <v>0</v>
      </c>
    </row>
    <row r="99" spans="1:26" s="69" customFormat="1" ht="15" customHeight="1" outlineLevel="1" collapsed="1" x14ac:dyDescent="0.3">
      <c r="A99" s="25"/>
      <c r="B99" s="14" t="str">
        <f>CONCATENATE("     ","Donations                                         ")</f>
        <v xml:space="preserve">     Donations                                         </v>
      </c>
      <c r="C99" s="14"/>
      <c r="D99" s="2">
        <f>SUM(OSRRefD22_7x_0)</f>
        <v>11681.61</v>
      </c>
      <c r="E99" s="2"/>
      <c r="F99" s="6">
        <f t="shared" si="20"/>
        <v>4.3494582526440997E-3</v>
      </c>
      <c r="G99" s="2"/>
      <c r="H99" s="2">
        <f>SUM(OSRRefH22_7x_0)</f>
        <v>16750</v>
      </c>
      <c r="I99" s="2"/>
      <c r="J99" s="6">
        <f t="shared" si="21"/>
        <v>7.249055026170171E-3</v>
      </c>
      <c r="K99" s="2"/>
      <c r="L99" s="2">
        <f t="shared" si="22"/>
        <v>-5068.3899999999994</v>
      </c>
      <c r="M99" s="2"/>
      <c r="N99" s="6">
        <f t="shared" si="23"/>
        <v>-0.30259044776119398</v>
      </c>
      <c r="O99" s="14"/>
      <c r="P99" s="2">
        <f>SUM(OSRRefP22_7x_0)</f>
        <v>55128.480000000003</v>
      </c>
      <c r="Q99" s="2"/>
      <c r="R99" s="6">
        <f t="shared" si="24"/>
        <v>3.5233778826121707E-3</v>
      </c>
      <c r="S99" s="2"/>
      <c r="T99" s="2">
        <f>SUM(OSRRefT22_7x_0)</f>
        <v>118500</v>
      </c>
      <c r="U99" s="2"/>
      <c r="V99" s="6">
        <f t="shared" si="25"/>
        <v>7.0383915451870975E-3</v>
      </c>
      <c r="W99" s="2"/>
      <c r="X99" s="2">
        <f t="shared" si="26"/>
        <v>-63371.519999999997</v>
      </c>
      <c r="Y99" s="2"/>
      <c r="Z99" s="6">
        <f t="shared" si="27"/>
        <v>-0.53478075949367088</v>
      </c>
    </row>
    <row r="100" spans="1:26" s="70" customFormat="1" ht="15" hidden="1" customHeight="1" outlineLevel="2" x14ac:dyDescent="0.3">
      <c r="A100" s="26"/>
      <c r="B100" s="12" t="str">
        <f>CONCATENATE("          ","6399"," - ","DONATION-ON CAMPUS")</f>
        <v xml:space="preserve">          6399 - DONATION-ON CAMPUS</v>
      </c>
      <c r="C100" s="12"/>
      <c r="D100" s="8">
        <v>11681.61</v>
      </c>
      <c r="E100" s="3"/>
      <c r="F100" s="7">
        <f t="shared" si="20"/>
        <v>4.3494582526440997E-3</v>
      </c>
      <c r="G100" s="3"/>
      <c r="H100" s="8">
        <v>16750</v>
      </c>
      <c r="I100" s="3"/>
      <c r="J100" s="7">
        <f t="shared" si="21"/>
        <v>7.249055026170171E-3</v>
      </c>
      <c r="K100" s="3"/>
      <c r="L100" s="8">
        <f t="shared" si="22"/>
        <v>-5068.3899999999994</v>
      </c>
      <c r="M100" s="3"/>
      <c r="N100" s="7">
        <f t="shared" si="23"/>
        <v>-0.30259044776119398</v>
      </c>
      <c r="O100" s="12"/>
      <c r="P100" s="8">
        <v>55128.480000000003</v>
      </c>
      <c r="Q100" s="3"/>
      <c r="R100" s="7">
        <f t="shared" si="24"/>
        <v>3.5233778826121707E-3</v>
      </c>
      <c r="S100" s="3"/>
      <c r="T100" s="8">
        <v>118500</v>
      </c>
      <c r="U100" s="3"/>
      <c r="V100" s="7">
        <f t="shared" si="25"/>
        <v>7.0383915451870975E-3</v>
      </c>
      <c r="W100" s="3"/>
      <c r="X100" s="8">
        <f t="shared" si="26"/>
        <v>-63371.519999999997</v>
      </c>
      <c r="Y100" s="3"/>
      <c r="Z100" s="7">
        <f t="shared" si="27"/>
        <v>-0.53478075949367088</v>
      </c>
    </row>
    <row r="101" spans="1:26" s="69" customFormat="1" ht="15" customHeight="1" outlineLevel="1" collapsed="1" x14ac:dyDescent="0.3">
      <c r="A101" s="25"/>
      <c r="B101" s="14" t="str">
        <f>CONCATENATE("     ","Employees' Appreciation                           ")</f>
        <v xml:space="preserve">     Employees' Appreciation                           </v>
      </c>
      <c r="C101" s="14"/>
      <c r="D101" s="2">
        <f>SUM(OSRRefD22_8x_0)</f>
        <v>87.37</v>
      </c>
      <c r="E101" s="2"/>
      <c r="F101" s="6">
        <f t="shared" si="20"/>
        <v>3.2530804189963111E-5</v>
      </c>
      <c r="G101" s="2"/>
      <c r="H101" s="2">
        <f>SUM(OSRRefH22_8x_0)</f>
        <v>465</v>
      </c>
      <c r="I101" s="2"/>
      <c r="J101" s="6">
        <f t="shared" si="21"/>
        <v>2.0124242311457489E-4</v>
      </c>
      <c r="K101" s="2"/>
      <c r="L101" s="2">
        <f t="shared" si="22"/>
        <v>-377.63</v>
      </c>
      <c r="M101" s="2"/>
      <c r="N101" s="6">
        <f t="shared" si="23"/>
        <v>-0.81210752688172039</v>
      </c>
      <c r="O101" s="14"/>
      <c r="P101" s="2">
        <f>SUM(OSRRefP22_8x_0)</f>
        <v>4885.7700000000004</v>
      </c>
      <c r="Q101" s="2"/>
      <c r="R101" s="6">
        <f t="shared" si="24"/>
        <v>3.1225990554301634E-4</v>
      </c>
      <c r="S101" s="2"/>
      <c r="T101" s="2">
        <f>SUM(OSRRefT22_8x_0)</f>
        <v>4500</v>
      </c>
      <c r="U101" s="2"/>
      <c r="V101" s="6">
        <f t="shared" si="25"/>
        <v>2.6728069158938342E-4</v>
      </c>
      <c r="W101" s="2"/>
      <c r="X101" s="2">
        <f t="shared" si="26"/>
        <v>385.77000000000044</v>
      </c>
      <c r="Y101" s="2"/>
      <c r="Z101" s="6">
        <f t="shared" si="27"/>
        <v>8.572666666666677E-2</v>
      </c>
    </row>
    <row r="102" spans="1:26" s="70" customFormat="1" ht="15" hidden="1" customHeight="1" outlineLevel="2" x14ac:dyDescent="0.3">
      <c r="A102" s="26"/>
      <c r="B102" s="12" t="str">
        <f>CONCATENATE("          ","6277"," - ","EMPLOYEE APPRECIATION")</f>
        <v xml:space="preserve">          6277 - EMPLOYEE APPRECIATION</v>
      </c>
      <c r="C102" s="12"/>
      <c r="D102" s="8">
        <v>87.37</v>
      </c>
      <c r="E102" s="3"/>
      <c r="F102" s="7">
        <f t="shared" si="20"/>
        <v>3.2530804189963111E-5</v>
      </c>
      <c r="G102" s="3"/>
      <c r="H102" s="8">
        <v>465</v>
      </c>
      <c r="I102" s="3"/>
      <c r="J102" s="7">
        <f t="shared" si="21"/>
        <v>2.0124242311457489E-4</v>
      </c>
      <c r="K102" s="3"/>
      <c r="L102" s="8">
        <f t="shared" si="22"/>
        <v>-377.63</v>
      </c>
      <c r="M102" s="3"/>
      <c r="N102" s="7">
        <f t="shared" si="23"/>
        <v>-0.81210752688172039</v>
      </c>
      <c r="O102" s="12"/>
      <c r="P102" s="8">
        <v>4885.7700000000004</v>
      </c>
      <c r="Q102" s="3"/>
      <c r="R102" s="7">
        <f t="shared" si="24"/>
        <v>3.1225990554301634E-4</v>
      </c>
      <c r="S102" s="3"/>
      <c r="T102" s="8">
        <v>4500</v>
      </c>
      <c r="U102" s="3"/>
      <c r="V102" s="7">
        <f t="shared" si="25"/>
        <v>2.6728069158938342E-4</v>
      </c>
      <c r="W102" s="3"/>
      <c r="X102" s="8">
        <f t="shared" si="26"/>
        <v>385.77000000000044</v>
      </c>
      <c r="Y102" s="3"/>
      <c r="Z102" s="7">
        <f t="shared" si="27"/>
        <v>8.572666666666677E-2</v>
      </c>
    </row>
    <row r="103" spans="1:26" s="69" customFormat="1" ht="15" customHeight="1" outlineLevel="1" collapsed="1" x14ac:dyDescent="0.3">
      <c r="A103" s="25"/>
      <c r="B103" s="14" t="str">
        <f>CONCATENATE("     ","Equipment Rental                                  ")</f>
        <v xml:space="preserve">     Equipment Rental                                  </v>
      </c>
      <c r="C103" s="14"/>
      <c r="D103" s="2">
        <f>SUM(OSRRefD22_9x_0)</f>
        <v>2923.75</v>
      </c>
      <c r="E103" s="2"/>
      <c r="F103" s="6">
        <f t="shared" si="20"/>
        <v>1.0886109505597417E-3</v>
      </c>
      <c r="G103" s="2"/>
      <c r="H103" s="2">
        <f>SUM(OSRRefH22_9x_0)</f>
        <v>3446</v>
      </c>
      <c r="I103" s="2"/>
      <c r="J103" s="6">
        <f t="shared" si="21"/>
        <v>1.4913578280705915E-3</v>
      </c>
      <c r="K103" s="2"/>
      <c r="L103" s="2">
        <f t="shared" si="22"/>
        <v>-522.25</v>
      </c>
      <c r="M103" s="2"/>
      <c r="N103" s="6">
        <f t="shared" si="23"/>
        <v>-0.15155252466627975</v>
      </c>
      <c r="O103" s="14"/>
      <c r="P103" s="2">
        <f>SUM(OSRRefP22_9x_0)</f>
        <v>29248.01</v>
      </c>
      <c r="Q103" s="2"/>
      <c r="R103" s="6">
        <f t="shared" si="24"/>
        <v>1.8693022471219882E-3</v>
      </c>
      <c r="S103" s="2"/>
      <c r="T103" s="2">
        <f>SUM(OSRRefT22_9x_0)</f>
        <v>27368</v>
      </c>
      <c r="U103" s="2"/>
      <c r="V103" s="6">
        <f t="shared" si="25"/>
        <v>1.6255417705373881E-3</v>
      </c>
      <c r="W103" s="2"/>
      <c r="X103" s="2">
        <f t="shared" si="26"/>
        <v>1880.0099999999984</v>
      </c>
      <c r="Y103" s="2"/>
      <c r="Z103" s="6">
        <f t="shared" si="27"/>
        <v>6.8693729903536921E-2</v>
      </c>
    </row>
    <row r="104" spans="1:26" s="70" customFormat="1" ht="15" hidden="1" customHeight="1" outlineLevel="2" x14ac:dyDescent="0.3">
      <c r="A104" s="26"/>
      <c r="B104" s="12" t="str">
        <f>CONCATENATE("          ","6351"," - ","EQUIPMENT RENTAL")</f>
        <v xml:space="preserve">          6351 - EQUIPMENT RENTAL</v>
      </c>
      <c r="C104" s="12"/>
      <c r="D104" s="8">
        <v>2923.75</v>
      </c>
      <c r="E104" s="3"/>
      <c r="F104" s="7">
        <f t="shared" si="20"/>
        <v>1.0886109505597417E-3</v>
      </c>
      <c r="G104" s="3"/>
      <c r="H104" s="8">
        <v>3446</v>
      </c>
      <c r="I104" s="3"/>
      <c r="J104" s="7">
        <f t="shared" si="21"/>
        <v>1.4913578280705915E-3</v>
      </c>
      <c r="K104" s="3"/>
      <c r="L104" s="8">
        <f t="shared" si="22"/>
        <v>-522.25</v>
      </c>
      <c r="M104" s="3"/>
      <c r="N104" s="7">
        <f t="shared" si="23"/>
        <v>-0.15155252466627975</v>
      </c>
      <c r="O104" s="12"/>
      <c r="P104" s="8">
        <v>29248.01</v>
      </c>
      <c r="Q104" s="3"/>
      <c r="R104" s="7">
        <f t="shared" si="24"/>
        <v>1.8693022471219882E-3</v>
      </c>
      <c r="S104" s="3"/>
      <c r="T104" s="8">
        <v>27368</v>
      </c>
      <c r="U104" s="3"/>
      <c r="V104" s="7">
        <f t="shared" si="25"/>
        <v>1.6255417705373881E-3</v>
      </c>
      <c r="W104" s="3"/>
      <c r="X104" s="8">
        <f t="shared" si="26"/>
        <v>1880.0099999999984</v>
      </c>
      <c r="Y104" s="3"/>
      <c r="Z104" s="7">
        <f t="shared" si="27"/>
        <v>6.8693729903536921E-2</v>
      </c>
    </row>
    <row r="105" spans="1:26" s="69" customFormat="1" ht="15" customHeight="1" outlineLevel="1" collapsed="1" x14ac:dyDescent="0.3">
      <c r="A105" s="25"/>
      <c r="B105" s="14" t="str">
        <f>CONCATENATE("     ","Freight out/Postage                               ")</f>
        <v xml:space="preserve">     Freight out/Postage                               </v>
      </c>
      <c r="C105" s="14"/>
      <c r="D105" s="2">
        <f>SUM(OSRRefD22_10x_0)</f>
        <v>-7059.8099999999995</v>
      </c>
      <c r="E105" s="2"/>
      <c r="F105" s="6">
        <f t="shared" si="20"/>
        <v>-2.6286058913625207E-3</v>
      </c>
      <c r="G105" s="2"/>
      <c r="H105" s="2">
        <f>SUM(OSRRefH22_10x_0)</f>
        <v>1975</v>
      </c>
      <c r="I105" s="2"/>
      <c r="J105" s="6">
        <f t="shared" si="21"/>
        <v>8.547393239812589E-4</v>
      </c>
      <c r="K105" s="2"/>
      <c r="L105" s="2">
        <f t="shared" si="22"/>
        <v>-9034.81</v>
      </c>
      <c r="M105" s="2"/>
      <c r="N105" s="6">
        <f t="shared" si="23"/>
        <v>-4.5745873417721512</v>
      </c>
      <c r="O105" s="14"/>
      <c r="P105" s="2">
        <f>SUM(OSRRefP22_10x_0)</f>
        <v>-46385.16</v>
      </c>
      <c r="Q105" s="2"/>
      <c r="R105" s="6">
        <f t="shared" si="24"/>
        <v>-2.9645737888188963E-3</v>
      </c>
      <c r="S105" s="2"/>
      <c r="T105" s="2">
        <f>SUM(OSRRefT22_10x_0)</f>
        <v>-14800</v>
      </c>
      <c r="U105" s="2"/>
      <c r="V105" s="6">
        <f t="shared" si="25"/>
        <v>-8.7905649678286107E-4</v>
      </c>
      <c r="W105" s="2"/>
      <c r="X105" s="2">
        <f t="shared" si="26"/>
        <v>-31585.160000000003</v>
      </c>
      <c r="Y105" s="2"/>
      <c r="Z105" s="6">
        <f t="shared" si="27"/>
        <v>2.1341324324324327</v>
      </c>
    </row>
    <row r="106" spans="1:26" s="70" customFormat="1" ht="15" hidden="1" customHeight="1" outlineLevel="2" x14ac:dyDescent="0.3">
      <c r="A106" s="26"/>
      <c r="B106" s="12" t="str">
        <f>CONCATENATE("          ","6305"," - ","FREIGHT OUT")</f>
        <v xml:space="preserve">          6305 - FREIGHT OUT</v>
      </c>
      <c r="C106" s="12"/>
      <c r="D106" s="8">
        <v>7594.99</v>
      </c>
      <c r="E106" s="3"/>
      <c r="F106" s="7">
        <f t="shared" si="20"/>
        <v>2.8278714949608319E-3</v>
      </c>
      <c r="G106" s="3"/>
      <c r="H106" s="8">
        <v>23865</v>
      </c>
      <c r="I106" s="3"/>
      <c r="J106" s="7">
        <f t="shared" si="21"/>
        <v>1.032828048952544E-2</v>
      </c>
      <c r="K106" s="3"/>
      <c r="L106" s="8">
        <f t="shared" si="22"/>
        <v>-16270.01</v>
      </c>
      <c r="M106" s="3"/>
      <c r="N106" s="7">
        <f t="shared" si="23"/>
        <v>-0.68175193798449618</v>
      </c>
      <c r="O106" s="12"/>
      <c r="P106" s="8">
        <v>101854.19</v>
      </c>
      <c r="Q106" s="3"/>
      <c r="R106" s="7">
        <f t="shared" si="24"/>
        <v>6.5097169429916757E-3</v>
      </c>
      <c r="S106" s="3"/>
      <c r="T106" s="8">
        <v>139320</v>
      </c>
      <c r="U106" s="3"/>
      <c r="V106" s="7">
        <f t="shared" si="25"/>
        <v>8.2750102116073108E-3</v>
      </c>
      <c r="W106" s="3"/>
      <c r="X106" s="8">
        <f t="shared" si="26"/>
        <v>-37465.81</v>
      </c>
      <c r="Y106" s="3"/>
      <c r="Z106" s="7">
        <f t="shared" si="27"/>
        <v>-0.26891910709158767</v>
      </c>
    </row>
    <row r="107" spans="1:26" s="70" customFormat="1" ht="15" hidden="1" customHeight="1" outlineLevel="2" x14ac:dyDescent="0.3">
      <c r="A107" s="26"/>
      <c r="B107" s="12" t="str">
        <f>CONCATENATE("          ","6307"," - ","POSTAGE")</f>
        <v xml:space="preserve">          6307 - POSTAGE</v>
      </c>
      <c r="C107" s="12"/>
      <c r="D107" s="8">
        <v>-14654.8</v>
      </c>
      <c r="E107" s="3"/>
      <c r="F107" s="7">
        <f t="shared" si="20"/>
        <v>-5.456477386323353E-3</v>
      </c>
      <c r="G107" s="3"/>
      <c r="H107" s="8">
        <v>-21890</v>
      </c>
      <c r="I107" s="3"/>
      <c r="J107" s="7">
        <f t="shared" si="21"/>
        <v>-9.473541165544181E-3</v>
      </c>
      <c r="K107" s="3"/>
      <c r="L107" s="8">
        <f t="shared" si="22"/>
        <v>7235.2000000000007</v>
      </c>
      <c r="M107" s="3"/>
      <c r="N107" s="7">
        <f t="shared" si="23"/>
        <v>-0.33052535404294203</v>
      </c>
      <c r="O107" s="12"/>
      <c r="P107" s="8">
        <v>-148239.35</v>
      </c>
      <c r="Q107" s="3"/>
      <c r="R107" s="7">
        <f t="shared" si="24"/>
        <v>-9.474290731810572E-3</v>
      </c>
      <c r="S107" s="3"/>
      <c r="T107" s="8">
        <v>-154120</v>
      </c>
      <c r="U107" s="3"/>
      <c r="V107" s="7">
        <f t="shared" si="25"/>
        <v>-9.1540667083901718E-3</v>
      </c>
      <c r="W107" s="3"/>
      <c r="X107" s="8">
        <f t="shared" si="26"/>
        <v>5880.6499999999942</v>
      </c>
      <c r="Y107" s="3"/>
      <c r="Z107" s="7">
        <f t="shared" si="27"/>
        <v>-3.8156306773942342E-2</v>
      </c>
    </row>
    <row r="108" spans="1:26" s="69" customFormat="1" ht="15" customHeight="1" outlineLevel="1" collapsed="1" x14ac:dyDescent="0.3">
      <c r="A108" s="25"/>
      <c r="B108" s="14" t="str">
        <f>CONCATENATE("     ","General                                           ")</f>
        <v xml:space="preserve">     General                                           </v>
      </c>
      <c r="C108" s="14"/>
      <c r="D108" s="2">
        <f>SUM(OSRRefD22_11x_0)</f>
        <v>4708.4399999999996</v>
      </c>
      <c r="E108" s="2"/>
      <c r="F108" s="6">
        <f t="shared" si="20"/>
        <v>1.7531113617968398E-3</v>
      </c>
      <c r="G108" s="2"/>
      <c r="H108" s="2">
        <f>SUM(OSRRefH22_11x_0)</f>
        <v>935</v>
      </c>
      <c r="I108" s="2"/>
      <c r="J108" s="6">
        <f t="shared" si="21"/>
        <v>4.0464874325188714E-4</v>
      </c>
      <c r="K108" s="2"/>
      <c r="L108" s="2">
        <f t="shared" si="22"/>
        <v>3773.4399999999996</v>
      </c>
      <c r="M108" s="2"/>
      <c r="N108" s="6">
        <f t="shared" si="23"/>
        <v>4.0357647058823529</v>
      </c>
      <c r="O108" s="14"/>
      <c r="P108" s="2">
        <f>SUM(OSRRefP22_11x_0)</f>
        <v>40344.54</v>
      </c>
      <c r="Q108" s="2"/>
      <c r="R108" s="6">
        <f t="shared" si="24"/>
        <v>2.5785049745641821E-3</v>
      </c>
      <c r="S108" s="2"/>
      <c r="T108" s="2">
        <f>SUM(OSRRefT22_11x_0)</f>
        <v>20830</v>
      </c>
      <c r="U108" s="2"/>
      <c r="V108" s="6">
        <f t="shared" si="25"/>
        <v>1.2372126235126349E-3</v>
      </c>
      <c r="W108" s="2"/>
      <c r="X108" s="2">
        <f t="shared" si="26"/>
        <v>19514.54</v>
      </c>
      <c r="Y108" s="2"/>
      <c r="Z108" s="6">
        <f t="shared" si="27"/>
        <v>0.93684781565050412</v>
      </c>
    </row>
    <row r="109" spans="1:26" s="70" customFormat="1" ht="15" hidden="1" customHeight="1" outlineLevel="2" x14ac:dyDescent="0.3">
      <c r="A109" s="26"/>
      <c r="B109" s="12" t="str">
        <f>CONCATENATE("          ","6269"," - ","ENTERTAINMENT")</f>
        <v xml:space="preserve">          6269 - ENTERTAINMENT</v>
      </c>
      <c r="C109" s="12"/>
      <c r="D109" s="8"/>
      <c r="E109" s="3"/>
      <c r="F109" s="7">
        <f t="shared" si="20"/>
        <v>0</v>
      </c>
      <c r="G109" s="3"/>
      <c r="H109" s="8"/>
      <c r="I109" s="3"/>
      <c r="J109" s="7">
        <f t="shared" si="21"/>
        <v>0</v>
      </c>
      <c r="K109" s="3"/>
      <c r="L109" s="8">
        <f t="shared" si="22"/>
        <v>0</v>
      </c>
      <c r="M109" s="3"/>
      <c r="N109" s="7">
        <f t="shared" si="23"/>
        <v>0</v>
      </c>
      <c r="O109" s="12"/>
      <c r="P109" s="8"/>
      <c r="Q109" s="3"/>
      <c r="R109" s="7">
        <f t="shared" si="24"/>
        <v>0</v>
      </c>
      <c r="S109" s="3"/>
      <c r="T109" s="8">
        <v>250</v>
      </c>
      <c r="U109" s="3"/>
      <c r="V109" s="7">
        <f t="shared" si="25"/>
        <v>1.4848927310521303E-5</v>
      </c>
      <c r="W109" s="3"/>
      <c r="X109" s="8">
        <f t="shared" si="26"/>
        <v>-250</v>
      </c>
      <c r="Y109" s="3"/>
      <c r="Z109" s="7">
        <f t="shared" si="27"/>
        <v>-1</v>
      </c>
    </row>
    <row r="110" spans="1:26" s="70" customFormat="1" ht="15" hidden="1" customHeight="1" outlineLevel="2" x14ac:dyDescent="0.3">
      <c r="A110" s="26"/>
      <c r="B110" s="12" t="str">
        <f>CONCATENATE("          ","6276"," - ","PROPERTY TAX")</f>
        <v xml:space="preserve">          6276 - PROPERTY TAX</v>
      </c>
      <c r="C110" s="12"/>
      <c r="D110" s="8"/>
      <c r="E110" s="3"/>
      <c r="F110" s="7">
        <f t="shared" si="20"/>
        <v>0</v>
      </c>
      <c r="G110" s="3"/>
      <c r="H110" s="8"/>
      <c r="I110" s="3"/>
      <c r="J110" s="7">
        <f t="shared" si="21"/>
        <v>0</v>
      </c>
      <c r="K110" s="3"/>
      <c r="L110" s="8">
        <f t="shared" si="22"/>
        <v>0</v>
      </c>
      <c r="M110" s="3"/>
      <c r="N110" s="7">
        <f t="shared" si="23"/>
        <v>0</v>
      </c>
      <c r="O110" s="12"/>
      <c r="P110" s="8"/>
      <c r="Q110" s="3"/>
      <c r="R110" s="7">
        <f t="shared" si="24"/>
        <v>0</v>
      </c>
      <c r="S110" s="3"/>
      <c r="T110" s="8">
        <v>1250</v>
      </c>
      <c r="U110" s="3"/>
      <c r="V110" s="7">
        <f t="shared" si="25"/>
        <v>7.4244636552606513E-5</v>
      </c>
      <c r="W110" s="3"/>
      <c r="X110" s="8">
        <f t="shared" si="26"/>
        <v>-1250</v>
      </c>
      <c r="Y110" s="3"/>
      <c r="Z110" s="7">
        <f t="shared" si="27"/>
        <v>-1</v>
      </c>
    </row>
    <row r="111" spans="1:26" s="70" customFormat="1" ht="15" hidden="1" customHeight="1" outlineLevel="2" x14ac:dyDescent="0.3">
      <c r="A111" s="26"/>
      <c r="B111" s="12" t="str">
        <f>CONCATENATE("          ","6279"," - ","GENERAL EXPENSE")</f>
        <v xml:space="preserve">          6279 - GENERAL EXPENSE</v>
      </c>
      <c r="C111" s="12"/>
      <c r="D111" s="8">
        <v>4708.4399999999996</v>
      </c>
      <c r="E111" s="3"/>
      <c r="F111" s="7">
        <f t="shared" si="20"/>
        <v>1.7531113617968398E-3</v>
      </c>
      <c r="G111" s="3"/>
      <c r="H111" s="8">
        <v>935</v>
      </c>
      <c r="I111" s="3"/>
      <c r="J111" s="7">
        <f t="shared" si="21"/>
        <v>4.0464874325188714E-4</v>
      </c>
      <c r="K111" s="3"/>
      <c r="L111" s="8">
        <f t="shared" si="22"/>
        <v>3773.4399999999996</v>
      </c>
      <c r="M111" s="3"/>
      <c r="N111" s="7">
        <f t="shared" si="23"/>
        <v>4.0357647058823529</v>
      </c>
      <c r="O111" s="12"/>
      <c r="P111" s="8">
        <v>40344.54</v>
      </c>
      <c r="Q111" s="3"/>
      <c r="R111" s="7">
        <f t="shared" si="24"/>
        <v>2.5785049745641821E-3</v>
      </c>
      <c r="S111" s="3"/>
      <c r="T111" s="8">
        <v>19330</v>
      </c>
      <c r="U111" s="3"/>
      <c r="V111" s="7">
        <f t="shared" si="25"/>
        <v>1.1481190596495071E-3</v>
      </c>
      <c r="W111" s="3"/>
      <c r="X111" s="8">
        <f t="shared" si="26"/>
        <v>21014.54</v>
      </c>
      <c r="Y111" s="3"/>
      <c r="Z111" s="7">
        <f t="shared" si="27"/>
        <v>1.087146404552509</v>
      </c>
    </row>
    <row r="112" spans="1:26" s="69" customFormat="1" ht="15" customHeight="1" outlineLevel="1" collapsed="1" x14ac:dyDescent="0.3">
      <c r="A112" s="25"/>
      <c r="B112" s="14" t="str">
        <f>CONCATENATE("     ","Insurance                                         ")</f>
        <v xml:space="preserve">     Insurance                                         </v>
      </c>
      <c r="C112" s="14"/>
      <c r="D112" s="2">
        <f>SUM(OSRRefD22_12x_0)</f>
        <v>11626.43</v>
      </c>
      <c r="E112" s="2"/>
      <c r="F112" s="6">
        <f t="shared" si="20"/>
        <v>4.3289128735070712E-3</v>
      </c>
      <c r="G112" s="2"/>
      <c r="H112" s="2">
        <f>SUM(OSRRefH22_12x_0)</f>
        <v>11425</v>
      </c>
      <c r="I112" s="2"/>
      <c r="J112" s="6">
        <f t="shared" si="21"/>
        <v>4.9445046969548772E-3</v>
      </c>
      <c r="K112" s="2"/>
      <c r="L112" s="2">
        <f t="shared" si="22"/>
        <v>201.43000000000029</v>
      </c>
      <c r="M112" s="2"/>
      <c r="N112" s="6">
        <f t="shared" si="23"/>
        <v>1.7630634573304185E-2</v>
      </c>
      <c r="O112" s="14"/>
      <c r="P112" s="2">
        <f>SUM(OSRRefP22_12x_0)</f>
        <v>99894.45</v>
      </c>
      <c r="Q112" s="2"/>
      <c r="R112" s="6">
        <f t="shared" si="24"/>
        <v>6.3844658101530703E-3</v>
      </c>
      <c r="S112" s="2"/>
      <c r="T112" s="2">
        <f>SUM(OSRRefT22_12x_0)</f>
        <v>91400</v>
      </c>
      <c r="U112" s="2"/>
      <c r="V112" s="6">
        <f t="shared" si="25"/>
        <v>5.4287678247265884E-3</v>
      </c>
      <c r="W112" s="2"/>
      <c r="X112" s="2">
        <f t="shared" si="26"/>
        <v>8494.4499999999971</v>
      </c>
      <c r="Y112" s="2"/>
      <c r="Z112" s="6">
        <f t="shared" si="27"/>
        <v>9.2937089715536075E-2</v>
      </c>
    </row>
    <row r="113" spans="1:26" s="70" customFormat="1" ht="15" hidden="1" customHeight="1" outlineLevel="2" x14ac:dyDescent="0.3">
      <c r="A113" s="26"/>
      <c r="B113" s="12" t="str">
        <f>CONCATENATE("          ","6314"," - ","LIABILITY INSURANCE")</f>
        <v xml:space="preserve">          6314 - LIABILITY INSURANCE</v>
      </c>
      <c r="C113" s="12"/>
      <c r="D113" s="8">
        <v>11626.43</v>
      </c>
      <c r="E113" s="3"/>
      <c r="F113" s="7">
        <f t="shared" si="20"/>
        <v>4.3289128735070712E-3</v>
      </c>
      <c r="G113" s="3"/>
      <c r="H113" s="8">
        <v>11425</v>
      </c>
      <c r="I113" s="3"/>
      <c r="J113" s="7">
        <f t="shared" si="21"/>
        <v>4.9445046969548772E-3</v>
      </c>
      <c r="K113" s="3"/>
      <c r="L113" s="8">
        <f t="shared" si="22"/>
        <v>201.43000000000029</v>
      </c>
      <c r="M113" s="3"/>
      <c r="N113" s="7">
        <f t="shared" si="23"/>
        <v>1.7630634573304185E-2</v>
      </c>
      <c r="O113" s="12"/>
      <c r="P113" s="8">
        <v>99894.45</v>
      </c>
      <c r="Q113" s="3"/>
      <c r="R113" s="7">
        <f t="shared" si="24"/>
        <v>6.3844658101530703E-3</v>
      </c>
      <c r="S113" s="3"/>
      <c r="T113" s="8">
        <v>91400</v>
      </c>
      <c r="U113" s="3"/>
      <c r="V113" s="7">
        <f t="shared" si="25"/>
        <v>5.4287678247265884E-3</v>
      </c>
      <c r="W113" s="3"/>
      <c r="X113" s="8">
        <f t="shared" si="26"/>
        <v>8494.4499999999971</v>
      </c>
      <c r="Y113" s="3"/>
      <c r="Z113" s="7">
        <f t="shared" si="27"/>
        <v>9.2937089715536075E-2</v>
      </c>
    </row>
    <row r="114" spans="1:26" s="69" customFormat="1" ht="15" customHeight="1" outlineLevel="1" collapsed="1" x14ac:dyDescent="0.3">
      <c r="A114" s="25"/>
      <c r="B114" s="14" t="str">
        <f>CONCATENATE("     ","Interest                                          ")</f>
        <v xml:space="preserve">     Interest                                          </v>
      </c>
      <c r="C114" s="14"/>
      <c r="D114" s="2">
        <f>SUM(OSRRefD22_13x_0)</f>
        <v>11158</v>
      </c>
      <c r="E114" s="2"/>
      <c r="F114" s="6">
        <f t="shared" si="20"/>
        <v>4.1545005511229071E-3</v>
      </c>
      <c r="G114" s="2"/>
      <c r="H114" s="2">
        <f>SUM(OSRRefH22_13x_0)</f>
        <v>11158</v>
      </c>
      <c r="I114" s="2"/>
      <c r="J114" s="6">
        <f t="shared" si="21"/>
        <v>4.8289525959407022E-3</v>
      </c>
      <c r="K114" s="2"/>
      <c r="L114" s="2">
        <f t="shared" si="22"/>
        <v>0</v>
      </c>
      <c r="M114" s="2"/>
      <c r="N114" s="6">
        <f t="shared" si="23"/>
        <v>0</v>
      </c>
      <c r="O114" s="14"/>
      <c r="P114" s="2">
        <f>SUM(OSRRefP22_13x_0)</f>
        <v>88474</v>
      </c>
      <c r="Q114" s="2"/>
      <c r="R114" s="6">
        <f t="shared" si="24"/>
        <v>5.6545606696616554E-3</v>
      </c>
      <c r="S114" s="2"/>
      <c r="T114" s="2">
        <f>SUM(OSRRefT22_13x_0)</f>
        <v>89264</v>
      </c>
      <c r="U114" s="2"/>
      <c r="V114" s="6">
        <f t="shared" si="25"/>
        <v>5.3018985897854941E-3</v>
      </c>
      <c r="W114" s="2"/>
      <c r="X114" s="2">
        <f t="shared" si="26"/>
        <v>-790</v>
      </c>
      <c r="Y114" s="2"/>
      <c r="Z114" s="6">
        <f t="shared" si="27"/>
        <v>-8.850152357053236E-3</v>
      </c>
    </row>
    <row r="115" spans="1:26" s="70" customFormat="1" ht="15" hidden="1" customHeight="1" outlineLevel="2" x14ac:dyDescent="0.3">
      <c r="A115" s="26"/>
      <c r="B115" s="12" t="str">
        <f>CONCATENATE("          ","6401"," - ","INTEREST EXPENSE")</f>
        <v xml:space="preserve">          6401 - INTEREST EXPENSE</v>
      </c>
      <c r="C115" s="12"/>
      <c r="D115" s="8">
        <v>11158</v>
      </c>
      <c r="E115" s="3"/>
      <c r="F115" s="7">
        <f t="shared" si="20"/>
        <v>4.1545005511229071E-3</v>
      </c>
      <c r="G115" s="3"/>
      <c r="H115" s="8">
        <v>11158</v>
      </c>
      <c r="I115" s="3"/>
      <c r="J115" s="7">
        <f t="shared" si="21"/>
        <v>4.8289525959407022E-3</v>
      </c>
      <c r="K115" s="3"/>
      <c r="L115" s="8">
        <f t="shared" si="22"/>
        <v>0</v>
      </c>
      <c r="M115" s="3"/>
      <c r="N115" s="7">
        <f t="shared" si="23"/>
        <v>0</v>
      </c>
      <c r="O115" s="12"/>
      <c r="P115" s="8">
        <v>88474</v>
      </c>
      <c r="Q115" s="3"/>
      <c r="R115" s="7">
        <f t="shared" si="24"/>
        <v>5.6545606696616554E-3</v>
      </c>
      <c r="S115" s="3"/>
      <c r="T115" s="8">
        <v>89264</v>
      </c>
      <c r="U115" s="3"/>
      <c r="V115" s="7">
        <f t="shared" si="25"/>
        <v>5.3018985897854941E-3</v>
      </c>
      <c r="W115" s="3"/>
      <c r="X115" s="8">
        <f t="shared" si="26"/>
        <v>-790</v>
      </c>
      <c r="Y115" s="3"/>
      <c r="Z115" s="7">
        <f t="shared" si="27"/>
        <v>-8.850152357053236E-3</v>
      </c>
    </row>
    <row r="116" spans="1:26" s="69" customFormat="1" ht="15" customHeight="1" outlineLevel="1" collapsed="1" x14ac:dyDescent="0.3">
      <c r="A116" s="25"/>
      <c r="B116" s="14" t="str">
        <f>CONCATENATE("     ","Inventory Adjustment                              ")</f>
        <v xml:space="preserve">     Inventory Adjustment                              </v>
      </c>
      <c r="C116" s="14"/>
      <c r="D116" s="2">
        <f>SUM(OSRRefD22_14x_0)</f>
        <v>5690</v>
      </c>
      <c r="E116" s="2"/>
      <c r="F116" s="6">
        <f t="shared" si="20"/>
        <v>2.1185793274681249E-3</v>
      </c>
      <c r="G116" s="2"/>
      <c r="H116" s="2">
        <f>SUM(OSRRefH22_14x_0)</f>
        <v>5690</v>
      </c>
      <c r="I116" s="2"/>
      <c r="J116" s="6">
        <f t="shared" si="21"/>
        <v>2.4625148118751208E-3</v>
      </c>
      <c r="K116" s="2"/>
      <c r="L116" s="2">
        <f t="shared" si="22"/>
        <v>0</v>
      </c>
      <c r="M116" s="2"/>
      <c r="N116" s="6">
        <f t="shared" si="23"/>
        <v>0</v>
      </c>
      <c r="O116" s="14"/>
      <c r="P116" s="2">
        <f>SUM(OSRRefP22_14x_0)</f>
        <v>52000</v>
      </c>
      <c r="Q116" s="2"/>
      <c r="R116" s="6">
        <f t="shared" si="24"/>
        <v>3.3234301017519958E-3</v>
      </c>
      <c r="S116" s="2"/>
      <c r="T116" s="2">
        <f>SUM(OSRRefT22_14x_0)</f>
        <v>52710</v>
      </c>
      <c r="U116" s="2"/>
      <c r="V116" s="6">
        <f t="shared" si="25"/>
        <v>3.1307478341503115E-3</v>
      </c>
      <c r="W116" s="2"/>
      <c r="X116" s="2">
        <f t="shared" si="26"/>
        <v>-710</v>
      </c>
      <c r="Y116" s="2"/>
      <c r="Z116" s="6">
        <f t="shared" si="27"/>
        <v>-1.346992980459116E-2</v>
      </c>
    </row>
    <row r="117" spans="1:26" s="70" customFormat="1" ht="15" hidden="1" customHeight="1" outlineLevel="2" x14ac:dyDescent="0.3">
      <c r="A117" s="26"/>
      <c r="B117" s="12" t="str">
        <f>CONCATENATE("          ","6408"," - ","INVENTORY ADJUSTMENT")</f>
        <v xml:space="preserve">          6408 - INVENTORY ADJUSTMENT</v>
      </c>
      <c r="C117" s="12"/>
      <c r="D117" s="8">
        <v>5690</v>
      </c>
      <c r="E117" s="3"/>
      <c r="F117" s="7">
        <f t="shared" si="20"/>
        <v>2.1185793274681249E-3</v>
      </c>
      <c r="G117" s="3"/>
      <c r="H117" s="8">
        <v>5690</v>
      </c>
      <c r="I117" s="3"/>
      <c r="J117" s="7">
        <f t="shared" si="21"/>
        <v>2.4625148118751208E-3</v>
      </c>
      <c r="K117" s="3"/>
      <c r="L117" s="8">
        <f t="shared" si="22"/>
        <v>0</v>
      </c>
      <c r="M117" s="3"/>
      <c r="N117" s="7">
        <f t="shared" si="23"/>
        <v>0</v>
      </c>
      <c r="O117" s="12"/>
      <c r="P117" s="8">
        <v>52000</v>
      </c>
      <c r="Q117" s="3"/>
      <c r="R117" s="7">
        <f t="shared" si="24"/>
        <v>3.3234301017519958E-3</v>
      </c>
      <c r="S117" s="3"/>
      <c r="T117" s="8">
        <v>52710</v>
      </c>
      <c r="U117" s="3"/>
      <c r="V117" s="7">
        <f t="shared" si="25"/>
        <v>3.1307478341503115E-3</v>
      </c>
      <c r="W117" s="3"/>
      <c r="X117" s="8">
        <f t="shared" si="26"/>
        <v>-710</v>
      </c>
      <c r="Y117" s="3"/>
      <c r="Z117" s="7">
        <f t="shared" si="27"/>
        <v>-1.346992980459116E-2</v>
      </c>
    </row>
    <row r="118" spans="1:26" s="69" customFormat="1" ht="15" customHeight="1" outlineLevel="1" collapsed="1" x14ac:dyDescent="0.3">
      <c r="A118" s="25"/>
      <c r="B118" s="14" t="str">
        <f>CONCATENATE("     ","Professional Services                             ")</f>
        <v xml:space="preserve">     Professional Services                             </v>
      </c>
      <c r="C118" s="14"/>
      <c r="D118" s="2">
        <f>SUM(OSRRefD22_15x_0)</f>
        <v>390</v>
      </c>
      <c r="E118" s="2"/>
      <c r="F118" s="6">
        <f t="shared" si="20"/>
        <v>1.4521018237479241E-4</v>
      </c>
      <c r="G118" s="2"/>
      <c r="H118" s="2">
        <f>SUM(OSRRefH22_15x_0)</f>
        <v>0</v>
      </c>
      <c r="I118" s="2"/>
      <c r="J118" s="6">
        <f t="shared" si="21"/>
        <v>0</v>
      </c>
      <c r="K118" s="2"/>
      <c r="L118" s="2">
        <f t="shared" si="22"/>
        <v>390</v>
      </c>
      <c r="M118" s="2"/>
      <c r="N118" s="6">
        <f t="shared" si="23"/>
        <v>0</v>
      </c>
      <c r="O118" s="14"/>
      <c r="P118" s="2">
        <f>SUM(OSRRefP22_15x_0)</f>
        <v>8576.5300000000007</v>
      </c>
      <c r="Q118" s="2"/>
      <c r="R118" s="6">
        <f t="shared" si="24"/>
        <v>5.4814419174190477E-4</v>
      </c>
      <c r="S118" s="2"/>
      <c r="T118" s="2">
        <f>SUM(OSRRefT22_15x_0)</f>
        <v>1500</v>
      </c>
      <c r="U118" s="2"/>
      <c r="V118" s="6">
        <f t="shared" si="25"/>
        <v>8.9093563863127816E-5</v>
      </c>
      <c r="W118" s="2"/>
      <c r="X118" s="2">
        <f t="shared" si="26"/>
        <v>7076.5300000000007</v>
      </c>
      <c r="Y118" s="2"/>
      <c r="Z118" s="6">
        <f t="shared" si="27"/>
        <v>4.7176866666666673</v>
      </c>
    </row>
    <row r="119" spans="1:26" s="70" customFormat="1" ht="15" hidden="1" customHeight="1" outlineLevel="2" x14ac:dyDescent="0.3">
      <c r="A119" s="26"/>
      <c r="B119" s="12" t="str">
        <f>CONCATENATE("          ","6336"," - ","PROFESSIONAL SERVICES")</f>
        <v xml:space="preserve">          6336 - PROFESSIONAL SERVICES</v>
      </c>
      <c r="C119" s="12"/>
      <c r="D119" s="8">
        <v>390</v>
      </c>
      <c r="E119" s="3"/>
      <c r="F119" s="7">
        <f t="shared" si="20"/>
        <v>1.4521018237479241E-4</v>
      </c>
      <c r="G119" s="3"/>
      <c r="H119" s="8">
        <v>0</v>
      </c>
      <c r="I119" s="3"/>
      <c r="J119" s="7">
        <f t="shared" si="21"/>
        <v>0</v>
      </c>
      <c r="K119" s="3"/>
      <c r="L119" s="8">
        <f t="shared" si="22"/>
        <v>390</v>
      </c>
      <c r="M119" s="3"/>
      <c r="N119" s="7">
        <f t="shared" si="23"/>
        <v>0</v>
      </c>
      <c r="O119" s="12"/>
      <c r="P119" s="8">
        <v>8576.5300000000007</v>
      </c>
      <c r="Q119" s="3"/>
      <c r="R119" s="7">
        <f t="shared" si="24"/>
        <v>5.4814419174190477E-4</v>
      </c>
      <c r="S119" s="3"/>
      <c r="T119" s="8">
        <v>1500</v>
      </c>
      <c r="U119" s="3"/>
      <c r="V119" s="7">
        <f t="shared" si="25"/>
        <v>8.9093563863127816E-5</v>
      </c>
      <c r="W119" s="3"/>
      <c r="X119" s="8">
        <f t="shared" si="26"/>
        <v>7076.5300000000007</v>
      </c>
      <c r="Y119" s="3"/>
      <c r="Z119" s="7">
        <f t="shared" si="27"/>
        <v>4.7176866666666673</v>
      </c>
    </row>
    <row r="120" spans="1:26" s="69" customFormat="1" ht="15" customHeight="1" outlineLevel="1" collapsed="1" x14ac:dyDescent="0.3">
      <c r="A120" s="25"/>
      <c r="B120" s="14" t="str">
        <f>CONCATENATE("     ","R/H Commissions                                   ")</f>
        <v xml:space="preserve">     R/H Commissions                                   </v>
      </c>
      <c r="C120" s="14"/>
      <c r="D120" s="2">
        <f>SUM(OSRRefD22_16x_0)</f>
        <v>109401.29</v>
      </c>
      <c r="E120" s="2"/>
      <c r="F120" s="6">
        <f t="shared" si="20"/>
        <v>4.0733798135737312E-2</v>
      </c>
      <c r="G120" s="2"/>
      <c r="H120" s="2">
        <f>SUM(OSRRefH22_16x_0)</f>
        <v>90317</v>
      </c>
      <c r="I120" s="2"/>
      <c r="J120" s="6">
        <f t="shared" si="21"/>
        <v>3.9087337480514107E-2</v>
      </c>
      <c r="K120" s="2"/>
      <c r="L120" s="2">
        <f t="shared" si="22"/>
        <v>19084.289999999994</v>
      </c>
      <c r="M120" s="2"/>
      <c r="N120" s="6">
        <f t="shared" si="23"/>
        <v>0.21130340910349096</v>
      </c>
      <c r="O120" s="14"/>
      <c r="P120" s="2">
        <f>SUM(OSRRefP22_16x_0)</f>
        <v>609028.68999999994</v>
      </c>
      <c r="Q120" s="2"/>
      <c r="R120" s="6">
        <f t="shared" si="24"/>
        <v>3.8924313099549704E-2</v>
      </c>
      <c r="S120" s="2"/>
      <c r="T120" s="2">
        <f>SUM(OSRRefT22_16x_0)</f>
        <v>484906</v>
      </c>
      <c r="U120" s="2"/>
      <c r="V120" s="6">
        <f t="shared" si="25"/>
        <v>2.8801335785742573E-2</v>
      </c>
      <c r="W120" s="2"/>
      <c r="X120" s="2">
        <f t="shared" si="26"/>
        <v>124122.68999999994</v>
      </c>
      <c r="Y120" s="2"/>
      <c r="Z120" s="6">
        <f t="shared" si="27"/>
        <v>0.25597268336543566</v>
      </c>
    </row>
    <row r="121" spans="1:26" s="70" customFormat="1" ht="15" hidden="1" customHeight="1" outlineLevel="2" x14ac:dyDescent="0.3">
      <c r="A121" s="26"/>
      <c r="B121" s="12" t="str">
        <f>CONCATENATE("          ","6387"," - ","COMMISSION DUE HOUSING")</f>
        <v xml:space="preserve">          6387 - COMMISSION DUE HOUSING</v>
      </c>
      <c r="C121" s="12"/>
      <c r="D121" s="8">
        <v>109401.29</v>
      </c>
      <c r="E121" s="3"/>
      <c r="F121" s="7">
        <f t="shared" si="20"/>
        <v>4.0733798135737312E-2</v>
      </c>
      <c r="G121" s="3"/>
      <c r="H121" s="8">
        <v>90317</v>
      </c>
      <c r="I121" s="3"/>
      <c r="J121" s="7">
        <f t="shared" si="21"/>
        <v>3.9087337480514107E-2</v>
      </c>
      <c r="K121" s="3"/>
      <c r="L121" s="8">
        <f t="shared" si="22"/>
        <v>19084.289999999994</v>
      </c>
      <c r="M121" s="3"/>
      <c r="N121" s="7">
        <f t="shared" si="23"/>
        <v>0.21130340910349096</v>
      </c>
      <c r="O121" s="12"/>
      <c r="P121" s="8">
        <v>609028.68999999994</v>
      </c>
      <c r="Q121" s="3"/>
      <c r="R121" s="7">
        <f t="shared" si="24"/>
        <v>3.8924313099549704E-2</v>
      </c>
      <c r="S121" s="3"/>
      <c r="T121" s="8">
        <v>484906</v>
      </c>
      <c r="U121" s="3"/>
      <c r="V121" s="7">
        <f t="shared" si="25"/>
        <v>2.8801335785742573E-2</v>
      </c>
      <c r="W121" s="3"/>
      <c r="X121" s="8">
        <f t="shared" si="26"/>
        <v>124122.68999999994</v>
      </c>
      <c r="Y121" s="3"/>
      <c r="Z121" s="7">
        <f t="shared" si="27"/>
        <v>0.25597268336543566</v>
      </c>
    </row>
    <row r="122" spans="1:26" s="69" customFormat="1" ht="15" customHeight="1" outlineLevel="1" collapsed="1" x14ac:dyDescent="0.3">
      <c r="A122" s="25"/>
      <c r="B122" s="14" t="str">
        <f>CONCATENATE("     ","Rent                                              ")</f>
        <v xml:space="preserve">     Rent                                              </v>
      </c>
      <c r="C122" s="14"/>
      <c r="D122" s="2">
        <f>SUM(OSRRefD22_17x_0)</f>
        <v>8750</v>
      </c>
      <c r="E122" s="2"/>
      <c r="F122" s="6">
        <f t="shared" si="20"/>
        <v>3.2579207584088037E-3</v>
      </c>
      <c r="G122" s="2"/>
      <c r="H122" s="2">
        <f>SUM(OSRRefH22_17x_0)</f>
        <v>8750</v>
      </c>
      <c r="I122" s="2"/>
      <c r="J122" s="6">
        <f t="shared" si="21"/>
        <v>3.7868197897903875E-3</v>
      </c>
      <c r="K122" s="2"/>
      <c r="L122" s="2">
        <f t="shared" si="22"/>
        <v>0</v>
      </c>
      <c r="M122" s="2"/>
      <c r="N122" s="6">
        <f t="shared" si="23"/>
        <v>0</v>
      </c>
      <c r="O122" s="14"/>
      <c r="P122" s="2">
        <f>SUM(OSRRefP22_17x_0)</f>
        <v>70000</v>
      </c>
      <c r="Q122" s="2"/>
      <c r="R122" s="6">
        <f t="shared" si="24"/>
        <v>4.4738482138969174E-3</v>
      </c>
      <c r="S122" s="2"/>
      <c r="T122" s="2">
        <f>SUM(OSRRefT22_17x_0)</f>
        <v>70000</v>
      </c>
      <c r="U122" s="2"/>
      <c r="V122" s="6">
        <f t="shared" si="25"/>
        <v>4.1576996469459646E-3</v>
      </c>
      <c r="W122" s="2"/>
      <c r="X122" s="2">
        <f t="shared" si="26"/>
        <v>0</v>
      </c>
      <c r="Y122" s="2"/>
      <c r="Z122" s="6">
        <f t="shared" si="27"/>
        <v>0</v>
      </c>
    </row>
    <row r="123" spans="1:26" s="70" customFormat="1" ht="15" hidden="1" customHeight="1" outlineLevel="2" x14ac:dyDescent="0.3">
      <c r="A123" s="26"/>
      <c r="B123" s="12" t="str">
        <f>CONCATENATE("          ","6273"," - ","RENT")</f>
        <v xml:space="preserve">          6273 - RENT</v>
      </c>
      <c r="C123" s="12"/>
      <c r="D123" s="8">
        <v>8750</v>
      </c>
      <c r="E123" s="3"/>
      <c r="F123" s="7">
        <f t="shared" si="20"/>
        <v>3.2579207584088037E-3</v>
      </c>
      <c r="G123" s="3"/>
      <c r="H123" s="8">
        <v>8750</v>
      </c>
      <c r="I123" s="3"/>
      <c r="J123" s="7">
        <f t="shared" si="21"/>
        <v>3.7868197897903875E-3</v>
      </c>
      <c r="K123" s="3"/>
      <c r="L123" s="8">
        <f t="shared" si="22"/>
        <v>0</v>
      </c>
      <c r="M123" s="3"/>
      <c r="N123" s="7">
        <f t="shared" si="23"/>
        <v>0</v>
      </c>
      <c r="O123" s="12"/>
      <c r="P123" s="8">
        <v>70000</v>
      </c>
      <c r="Q123" s="3"/>
      <c r="R123" s="7">
        <f t="shared" si="24"/>
        <v>4.4738482138969174E-3</v>
      </c>
      <c r="S123" s="3"/>
      <c r="T123" s="8">
        <v>70000</v>
      </c>
      <c r="U123" s="3"/>
      <c r="V123" s="7">
        <f t="shared" si="25"/>
        <v>4.1576996469459646E-3</v>
      </c>
      <c r="W123" s="3"/>
      <c r="X123" s="8">
        <f t="shared" si="26"/>
        <v>0</v>
      </c>
      <c r="Y123" s="3"/>
      <c r="Z123" s="7">
        <f t="shared" si="27"/>
        <v>0</v>
      </c>
    </row>
    <row r="124" spans="1:26" s="69" customFormat="1" ht="15" customHeight="1" outlineLevel="1" collapsed="1" x14ac:dyDescent="0.3">
      <c r="A124" s="25"/>
      <c r="B124" s="14" t="str">
        <f>CONCATENATE("     ","Repair and Maintenance                            ")</f>
        <v xml:space="preserve">     Repair and Maintenance                            </v>
      </c>
      <c r="C124" s="14"/>
      <c r="D124" s="2">
        <f>SUM(OSRRefD22_18x_0)</f>
        <v>24796.82</v>
      </c>
      <c r="E124" s="2"/>
      <c r="F124" s="6">
        <f t="shared" si="20"/>
        <v>9.2326942423458964E-3</v>
      </c>
      <c r="G124" s="2"/>
      <c r="H124" s="2">
        <f>SUM(OSRRefH22_18x_0)</f>
        <v>43739</v>
      </c>
      <c r="I124" s="2"/>
      <c r="J124" s="6">
        <f t="shared" si="21"/>
        <v>1.8929338375501915E-2</v>
      </c>
      <c r="K124" s="2"/>
      <c r="L124" s="2">
        <f t="shared" si="22"/>
        <v>-18942.18</v>
      </c>
      <c r="M124" s="2"/>
      <c r="N124" s="6">
        <f t="shared" si="23"/>
        <v>-0.43307300121173326</v>
      </c>
      <c r="O124" s="14"/>
      <c r="P124" s="2">
        <f>SUM(OSRRefP22_18x_0)</f>
        <v>348442.63999999996</v>
      </c>
      <c r="Q124" s="2"/>
      <c r="R124" s="6">
        <f t="shared" si="24"/>
        <v>2.2269706894421804E-2</v>
      </c>
      <c r="S124" s="2"/>
      <c r="T124" s="2">
        <f>SUM(OSRRefT22_18x_0)</f>
        <v>378998</v>
      </c>
      <c r="U124" s="2"/>
      <c r="V124" s="6">
        <f t="shared" si="25"/>
        <v>2.251085501133181E-2</v>
      </c>
      <c r="W124" s="2"/>
      <c r="X124" s="2">
        <f t="shared" si="26"/>
        <v>-30555.360000000044</v>
      </c>
      <c r="Y124" s="2"/>
      <c r="Z124" s="6">
        <f t="shared" si="27"/>
        <v>-8.06214280814148E-2</v>
      </c>
    </row>
    <row r="125" spans="1:26" s="70" customFormat="1" ht="15" hidden="1" customHeight="1" outlineLevel="2" x14ac:dyDescent="0.3">
      <c r="A125" s="26"/>
      <c r="B125" s="12" t="str">
        <f>CONCATENATE("          ","6371"," - ","COMPUTER SOFTWARE MAINTENANCE")</f>
        <v xml:space="preserve">          6371 - COMPUTER SOFTWARE MAINTENANCE</v>
      </c>
      <c r="C125" s="12"/>
      <c r="D125" s="8">
        <v>11083.7</v>
      </c>
      <c r="E125" s="3"/>
      <c r="F125" s="7">
        <f t="shared" si="20"/>
        <v>4.1268361497115045E-3</v>
      </c>
      <c r="G125" s="3"/>
      <c r="H125" s="8">
        <v>4500</v>
      </c>
      <c r="I125" s="3"/>
      <c r="J125" s="7">
        <f t="shared" si="21"/>
        <v>1.9475073204636279E-3</v>
      </c>
      <c r="K125" s="3"/>
      <c r="L125" s="8">
        <f t="shared" si="22"/>
        <v>6583.7000000000007</v>
      </c>
      <c r="M125" s="3"/>
      <c r="N125" s="7">
        <f t="shared" si="23"/>
        <v>1.4630444444444446</v>
      </c>
      <c r="O125" s="12"/>
      <c r="P125" s="8">
        <v>104911.87</v>
      </c>
      <c r="Q125" s="3"/>
      <c r="R125" s="7">
        <f t="shared" si="24"/>
        <v>6.7051397459440797E-3</v>
      </c>
      <c r="S125" s="3"/>
      <c r="T125" s="8">
        <v>202723</v>
      </c>
      <c r="U125" s="3"/>
      <c r="V125" s="7">
        <f t="shared" si="25"/>
        <v>1.2040876364683239E-2</v>
      </c>
      <c r="W125" s="3"/>
      <c r="X125" s="8">
        <f t="shared" si="26"/>
        <v>-97811.13</v>
      </c>
      <c r="Y125" s="3"/>
      <c r="Z125" s="7">
        <f t="shared" si="27"/>
        <v>-0.48248659500895313</v>
      </c>
    </row>
    <row r="126" spans="1:26" s="70" customFormat="1" ht="15" hidden="1" customHeight="1" outlineLevel="2" x14ac:dyDescent="0.3">
      <c r="A126" s="26"/>
      <c r="B126" s="12" t="str">
        <f>CONCATENATE("          ","6372"," - ","COMPUTER HARDWARE MAINTENANCE")</f>
        <v xml:space="preserve">          6372 - COMPUTER HARDWARE MAINTENANCE</v>
      </c>
      <c r="C126" s="12"/>
      <c r="D126" s="8"/>
      <c r="E126" s="3"/>
      <c r="F126" s="7">
        <f t="shared" si="20"/>
        <v>0</v>
      </c>
      <c r="G126" s="3"/>
      <c r="H126" s="8">
        <v>6950</v>
      </c>
      <c r="I126" s="3"/>
      <c r="J126" s="7">
        <f t="shared" si="21"/>
        <v>3.0078168616049367E-3</v>
      </c>
      <c r="K126" s="3"/>
      <c r="L126" s="8">
        <f t="shared" si="22"/>
        <v>-6950</v>
      </c>
      <c r="M126" s="3"/>
      <c r="N126" s="7">
        <f t="shared" si="23"/>
        <v>-1</v>
      </c>
      <c r="O126" s="12"/>
      <c r="P126" s="8">
        <v>1555.65</v>
      </c>
      <c r="Q126" s="3"/>
      <c r="R126" s="7">
        <f t="shared" si="24"/>
        <v>9.942488534212485E-5</v>
      </c>
      <c r="S126" s="3"/>
      <c r="T126" s="8">
        <v>60220</v>
      </c>
      <c r="U126" s="3"/>
      <c r="V126" s="7">
        <f t="shared" si="25"/>
        <v>3.5768096105583715E-3</v>
      </c>
      <c r="W126" s="3"/>
      <c r="X126" s="8">
        <f t="shared" si="26"/>
        <v>-58664.35</v>
      </c>
      <c r="Y126" s="3"/>
      <c r="Z126" s="7">
        <f t="shared" si="27"/>
        <v>-0.97416722019262703</v>
      </c>
    </row>
    <row r="127" spans="1:26" s="70" customFormat="1" ht="15" hidden="1" customHeight="1" outlineLevel="2" x14ac:dyDescent="0.3">
      <c r="A127" s="26"/>
      <c r="B127" s="12" t="str">
        <f>CONCATENATE("          ","6373"," - ","MAINTENANCE CONTRACTS")</f>
        <v xml:space="preserve">          6373 - MAINTENANCE CONTRACTS</v>
      </c>
      <c r="C127" s="12"/>
      <c r="D127" s="8">
        <v>2817.99</v>
      </c>
      <c r="E127" s="3"/>
      <c r="F127" s="7">
        <f t="shared" si="20"/>
        <v>1.0492329277701057E-3</v>
      </c>
      <c r="G127" s="3"/>
      <c r="H127" s="8">
        <v>27955</v>
      </c>
      <c r="I127" s="3"/>
      <c r="J127" s="7">
        <f t="shared" si="21"/>
        <v>1.2098348254124603E-2</v>
      </c>
      <c r="K127" s="3"/>
      <c r="L127" s="8">
        <f t="shared" si="22"/>
        <v>-25137.010000000002</v>
      </c>
      <c r="M127" s="3"/>
      <c r="N127" s="7">
        <f t="shared" si="23"/>
        <v>-0.89919549275621546</v>
      </c>
      <c r="O127" s="12"/>
      <c r="P127" s="8">
        <v>155982.68</v>
      </c>
      <c r="Q127" s="3"/>
      <c r="R127" s="7">
        <f t="shared" si="24"/>
        <v>9.9691833473836335E-3</v>
      </c>
      <c r="S127" s="3"/>
      <c r="T127" s="8">
        <v>80241</v>
      </c>
      <c r="U127" s="3"/>
      <c r="V127" s="7">
        <f t="shared" si="25"/>
        <v>4.7659711052941596E-3</v>
      </c>
      <c r="W127" s="3"/>
      <c r="X127" s="8">
        <f t="shared" si="26"/>
        <v>75741.679999999993</v>
      </c>
      <c r="Y127" s="3"/>
      <c r="Z127" s="7">
        <f t="shared" si="27"/>
        <v>0.9439274186513128</v>
      </c>
    </row>
    <row r="128" spans="1:26" s="70" customFormat="1" ht="15" hidden="1" customHeight="1" outlineLevel="2" x14ac:dyDescent="0.3">
      <c r="A128" s="26"/>
      <c r="B128" s="12" t="str">
        <f>CONCATENATE("          ","6375"," - ","OUTSIDE REPAIRS &amp; MAINTENANCE")</f>
        <v xml:space="preserve">          6375 - OUTSIDE REPAIRS &amp; MAINTENANCE</v>
      </c>
      <c r="C128" s="12"/>
      <c r="D128" s="8">
        <v>10895.13</v>
      </c>
      <c r="E128" s="3"/>
      <c r="F128" s="7">
        <f t="shared" ref="F128:F164" si="28">IF(D$12=0,0,D128/D$12)</f>
        <v>4.0566251648642866E-3</v>
      </c>
      <c r="G128" s="3"/>
      <c r="H128" s="8">
        <v>4334</v>
      </c>
      <c r="I128" s="3"/>
      <c r="J128" s="7">
        <f t="shared" ref="J128:J164" si="29">IF(H$12=0,0,H128/H$12)</f>
        <v>1.8756659393087474E-3</v>
      </c>
      <c r="K128" s="3"/>
      <c r="L128" s="8">
        <f t="shared" ref="L128:L164" si="30">+D128-H128</f>
        <v>6561.1299999999992</v>
      </c>
      <c r="M128" s="3"/>
      <c r="N128" s="7">
        <f t="shared" ref="N128:N164" si="31">IF(H128=0,0,L128/H128)</f>
        <v>1.5138740193816334</v>
      </c>
      <c r="O128" s="12"/>
      <c r="P128" s="8">
        <v>85992.44</v>
      </c>
      <c r="Q128" s="3"/>
      <c r="R128" s="7">
        <f t="shared" ref="R128:R164" si="32">IF(P$12=0,0,P128/P$12)</f>
        <v>5.4959589157519695E-3</v>
      </c>
      <c r="S128" s="3"/>
      <c r="T128" s="8">
        <v>35814</v>
      </c>
      <c r="U128" s="3"/>
      <c r="V128" s="7">
        <f t="shared" ref="V128:V164" si="33">IF(T$12=0,0,T128/T$12)</f>
        <v>2.1271979307960396E-3</v>
      </c>
      <c r="W128" s="3"/>
      <c r="X128" s="8">
        <f t="shared" ref="X128:X164" si="34">+P128-T128</f>
        <v>50178.44</v>
      </c>
      <c r="Y128" s="3"/>
      <c r="Z128" s="7">
        <f t="shared" ref="Z128:Z164" si="35">IF(T128=0,0,X128/T128)</f>
        <v>1.4010844920980623</v>
      </c>
    </row>
    <row r="129" spans="1:26" s="69" customFormat="1" ht="15" customHeight="1" outlineLevel="1" collapsed="1" x14ac:dyDescent="0.3">
      <c r="A129" s="25"/>
      <c r="B129" s="14" t="str">
        <f>CONCATENATE("     ","Royalty &amp; Commissions                             ")</f>
        <v xml:space="preserve">     Royalty &amp; Commissions                             </v>
      </c>
      <c r="C129" s="14"/>
      <c r="D129" s="2">
        <f>SUM(OSRRefD22_19x_0)</f>
        <v>6571.48</v>
      </c>
      <c r="E129" s="2"/>
      <c r="F129" s="6">
        <f t="shared" si="28"/>
        <v>2.4467841263392325E-3</v>
      </c>
      <c r="G129" s="2"/>
      <c r="H129" s="2">
        <f>SUM(OSRRefH22_19x_0)</f>
        <v>8090</v>
      </c>
      <c r="I129" s="2"/>
      <c r="J129" s="6">
        <f t="shared" si="29"/>
        <v>3.5011853827890556E-3</v>
      </c>
      <c r="K129" s="2"/>
      <c r="L129" s="2">
        <f t="shared" si="30"/>
        <v>-1518.5200000000004</v>
      </c>
      <c r="M129" s="2"/>
      <c r="N129" s="6">
        <f t="shared" si="31"/>
        <v>-0.18770333745364653</v>
      </c>
      <c r="O129" s="14"/>
      <c r="P129" s="2">
        <f>SUM(OSRRefP22_19x_0)</f>
        <v>53867.820000000007</v>
      </c>
      <c r="Q129" s="2"/>
      <c r="R129" s="6">
        <f t="shared" si="32"/>
        <v>3.4428064327645812E-3</v>
      </c>
      <c r="S129" s="2"/>
      <c r="T129" s="2">
        <f>SUM(OSRRefT22_19x_0)</f>
        <v>77509</v>
      </c>
      <c r="U129" s="2"/>
      <c r="V129" s="6">
        <f t="shared" si="33"/>
        <v>4.6037020276447826E-3</v>
      </c>
      <c r="W129" s="2"/>
      <c r="X129" s="2">
        <f t="shared" si="34"/>
        <v>-23641.179999999993</v>
      </c>
      <c r="Y129" s="2"/>
      <c r="Z129" s="6">
        <f t="shared" si="35"/>
        <v>-0.30501206311525103</v>
      </c>
    </row>
    <row r="130" spans="1:26" s="70" customFormat="1" ht="15" hidden="1" customHeight="1" outlineLevel="2" x14ac:dyDescent="0.3">
      <c r="A130" s="26"/>
      <c r="B130" s="12" t="str">
        <f>CONCATENATE("          ","6252"," - ","ROYALTY DUE CSTV")</f>
        <v xml:space="preserve">          6252 - ROYALTY DUE CSTV</v>
      </c>
      <c r="C130" s="12"/>
      <c r="D130" s="8"/>
      <c r="E130" s="3"/>
      <c r="F130" s="7">
        <f t="shared" si="28"/>
        <v>0</v>
      </c>
      <c r="G130" s="3"/>
      <c r="H130" s="8">
        <v>446</v>
      </c>
      <c r="I130" s="3"/>
      <c r="J130" s="7">
        <f t="shared" si="29"/>
        <v>1.9301961442817289E-4</v>
      </c>
      <c r="K130" s="3"/>
      <c r="L130" s="8">
        <f t="shared" si="30"/>
        <v>-446</v>
      </c>
      <c r="M130" s="3"/>
      <c r="N130" s="7">
        <f t="shared" si="31"/>
        <v>-1</v>
      </c>
      <c r="O130" s="12"/>
      <c r="P130" s="8"/>
      <c r="Q130" s="3"/>
      <c r="R130" s="7">
        <f t="shared" si="32"/>
        <v>0</v>
      </c>
      <c r="S130" s="3"/>
      <c r="T130" s="8">
        <v>11497</v>
      </c>
      <c r="U130" s="3"/>
      <c r="V130" s="7">
        <f t="shared" si="33"/>
        <v>6.8287246915625362E-4</v>
      </c>
      <c r="W130" s="3"/>
      <c r="X130" s="8">
        <f t="shared" si="34"/>
        <v>-11497</v>
      </c>
      <c r="Y130" s="3"/>
      <c r="Z130" s="7">
        <f t="shared" si="35"/>
        <v>-1</v>
      </c>
    </row>
    <row r="131" spans="1:26" s="70" customFormat="1" ht="15" hidden="1" customHeight="1" outlineLevel="2" x14ac:dyDescent="0.3">
      <c r="A131" s="26"/>
      <c r="B131" s="12" t="str">
        <f>CONCATENATE("          ","6253"," - ","ROYALTY DUE ATHLETICS-LRG")</f>
        <v xml:space="preserve">          6253 - ROYALTY DUE ATHLETICS-LRG</v>
      </c>
      <c r="C131" s="12"/>
      <c r="D131" s="8"/>
      <c r="E131" s="3"/>
      <c r="F131" s="7">
        <f t="shared" si="28"/>
        <v>0</v>
      </c>
      <c r="G131" s="3"/>
      <c r="H131" s="8">
        <v>0</v>
      </c>
      <c r="I131" s="3"/>
      <c r="J131" s="7">
        <f t="shared" si="29"/>
        <v>0</v>
      </c>
      <c r="K131" s="3"/>
      <c r="L131" s="8">
        <f t="shared" si="30"/>
        <v>0</v>
      </c>
      <c r="M131" s="3"/>
      <c r="N131" s="7">
        <f t="shared" si="31"/>
        <v>0</v>
      </c>
      <c r="O131" s="12"/>
      <c r="P131" s="8">
        <v>39221.160000000003</v>
      </c>
      <c r="Q131" s="3"/>
      <c r="R131" s="7">
        <f t="shared" si="32"/>
        <v>2.5067073801852175E-3</v>
      </c>
      <c r="S131" s="3"/>
      <c r="T131" s="8">
        <v>23947</v>
      </c>
      <c r="U131" s="3"/>
      <c r="V131" s="7">
        <f t="shared" si="33"/>
        <v>1.4223490492202145E-3</v>
      </c>
      <c r="W131" s="3"/>
      <c r="X131" s="8">
        <f t="shared" si="34"/>
        <v>15274.160000000003</v>
      </c>
      <c r="Y131" s="3"/>
      <c r="Z131" s="7">
        <f t="shared" si="35"/>
        <v>0.63783187873220037</v>
      </c>
    </row>
    <row r="132" spans="1:26" s="70" customFormat="1" ht="15" hidden="1" customHeight="1" outlineLevel="2" x14ac:dyDescent="0.3">
      <c r="A132" s="26"/>
      <c r="B132" s="12" t="str">
        <f>CONCATENATE("          ","6254"," - ","ROYALTY &amp; COMMISSIONS")</f>
        <v xml:space="preserve">          6254 - ROYALTY &amp; COMMISSIONS</v>
      </c>
      <c r="C132" s="12"/>
      <c r="D132" s="8">
        <v>4936.58</v>
      </c>
      <c r="E132" s="3"/>
      <c r="F132" s="7">
        <f t="shared" si="28"/>
        <v>1.8380555951480837E-3</v>
      </c>
      <c r="G132" s="3"/>
      <c r="H132" s="8">
        <v>1000</v>
      </c>
      <c r="I132" s="3"/>
      <c r="J132" s="7">
        <f t="shared" si="29"/>
        <v>4.3277940454747288E-4</v>
      </c>
      <c r="K132" s="3"/>
      <c r="L132" s="8">
        <f t="shared" si="30"/>
        <v>3936.58</v>
      </c>
      <c r="M132" s="3"/>
      <c r="N132" s="7">
        <f t="shared" si="31"/>
        <v>3.9365799999999997</v>
      </c>
      <c r="O132" s="12"/>
      <c r="P132" s="8">
        <v>7143.18</v>
      </c>
      <c r="Q132" s="3"/>
      <c r="R132" s="7">
        <f t="shared" si="32"/>
        <v>4.565357583506312E-4</v>
      </c>
      <c r="S132" s="3"/>
      <c r="T132" s="8">
        <v>1500</v>
      </c>
      <c r="U132" s="3"/>
      <c r="V132" s="7">
        <f t="shared" si="33"/>
        <v>8.9093563863127816E-5</v>
      </c>
      <c r="W132" s="3"/>
      <c r="X132" s="8">
        <f t="shared" si="34"/>
        <v>5643.18</v>
      </c>
      <c r="Y132" s="3"/>
      <c r="Z132" s="7">
        <f t="shared" si="35"/>
        <v>3.7621200000000004</v>
      </c>
    </row>
    <row r="133" spans="1:26" s="70" customFormat="1" ht="15" hidden="1" customHeight="1" outlineLevel="2" x14ac:dyDescent="0.3">
      <c r="A133" s="26"/>
      <c r="B133" s="12" t="str">
        <f>CONCATENATE("          ","6259"," - ","ROYALTY &amp; COMMISSIONS")</f>
        <v xml:space="preserve">          6259 - ROYALTY &amp; COMMISSIONS</v>
      </c>
      <c r="C133" s="12"/>
      <c r="D133" s="8">
        <v>1634.9</v>
      </c>
      <c r="E133" s="3"/>
      <c r="F133" s="7">
        <f t="shared" si="28"/>
        <v>6.0872853119114901E-4</v>
      </c>
      <c r="G133" s="3"/>
      <c r="H133" s="8">
        <v>6644</v>
      </c>
      <c r="I133" s="3"/>
      <c r="J133" s="7">
        <f t="shared" si="29"/>
        <v>2.8753863638134097E-3</v>
      </c>
      <c r="K133" s="3"/>
      <c r="L133" s="8">
        <f t="shared" si="30"/>
        <v>-5009.1000000000004</v>
      </c>
      <c r="M133" s="3"/>
      <c r="N133" s="7">
        <f t="shared" si="31"/>
        <v>-0.75392835641180023</v>
      </c>
      <c r="O133" s="12"/>
      <c r="P133" s="8">
        <v>7503.48</v>
      </c>
      <c r="Q133" s="3"/>
      <c r="R133" s="7">
        <f t="shared" si="32"/>
        <v>4.79563294228732E-4</v>
      </c>
      <c r="S133" s="3"/>
      <c r="T133" s="8">
        <v>40565</v>
      </c>
      <c r="U133" s="3"/>
      <c r="V133" s="7">
        <f t="shared" si="33"/>
        <v>2.4093869454051863E-3</v>
      </c>
      <c r="W133" s="3"/>
      <c r="X133" s="8">
        <f t="shared" si="34"/>
        <v>-33061.520000000004</v>
      </c>
      <c r="Y133" s="3"/>
      <c r="Z133" s="7">
        <f t="shared" si="35"/>
        <v>-0.81502576112412184</v>
      </c>
    </row>
    <row r="134" spans="1:26" s="69" customFormat="1" ht="15" customHeight="1" outlineLevel="1" collapsed="1" x14ac:dyDescent="0.3">
      <c r="A134" s="25"/>
      <c r="B134" s="14" t="str">
        <f>CONCATENATE("     ","Services                                          ")</f>
        <v xml:space="preserve">     Services                                          </v>
      </c>
      <c r="C134" s="14"/>
      <c r="D134" s="2">
        <f>SUM(OSRRefD22_20x_0)</f>
        <v>35891.299999999996</v>
      </c>
      <c r="E134" s="2"/>
      <c r="F134" s="6">
        <f t="shared" si="28"/>
        <v>1.3363544150431759E-2</v>
      </c>
      <c r="G134" s="2"/>
      <c r="H134" s="2">
        <f>SUM(OSRRefH22_20x_0)</f>
        <v>37453</v>
      </c>
      <c r="I134" s="2"/>
      <c r="J134" s="6">
        <f t="shared" si="29"/>
        <v>1.6208887038516501E-2</v>
      </c>
      <c r="K134" s="2"/>
      <c r="L134" s="2">
        <f t="shared" si="30"/>
        <v>-1561.7000000000044</v>
      </c>
      <c r="M134" s="2"/>
      <c r="N134" s="6">
        <f t="shared" si="31"/>
        <v>-4.1697594318212274E-2</v>
      </c>
      <c r="O134" s="14"/>
      <c r="P134" s="2">
        <f>SUM(OSRRefP22_20x_0)</f>
        <v>247366.36000000002</v>
      </c>
      <c r="Q134" s="2"/>
      <c r="R134" s="6">
        <f t="shared" si="32"/>
        <v>1.5809707826631169E-2</v>
      </c>
      <c r="S134" s="2"/>
      <c r="T134" s="2">
        <f>SUM(OSRRefT22_20x_0)</f>
        <v>290820</v>
      </c>
      <c r="U134" s="2"/>
      <c r="V134" s="6">
        <f t="shared" si="33"/>
        <v>1.727346016178322E-2</v>
      </c>
      <c r="W134" s="2"/>
      <c r="X134" s="2">
        <f t="shared" si="34"/>
        <v>-43453.639999999985</v>
      </c>
      <c r="Y134" s="2"/>
      <c r="Z134" s="6">
        <f t="shared" si="35"/>
        <v>-0.14941764665428783</v>
      </c>
    </row>
    <row r="135" spans="1:26" s="70" customFormat="1" ht="15" hidden="1" customHeight="1" outlineLevel="2" x14ac:dyDescent="0.3">
      <c r="A135" s="26"/>
      <c r="B135" s="12" t="str">
        <f>CONCATENATE("          ","6282"," - ","JANITORIAL/EXTERMINATOR EXPENS")</f>
        <v xml:space="preserve">          6282 - JANITORIAL/EXTERMINATOR EXPENS</v>
      </c>
      <c r="C135" s="12"/>
      <c r="D135" s="8">
        <v>4256.1000000000004</v>
      </c>
      <c r="E135" s="3"/>
      <c r="F135" s="7">
        <f t="shared" si="28"/>
        <v>1.5846898902701384E-3</v>
      </c>
      <c r="G135" s="3"/>
      <c r="H135" s="8">
        <v>7256</v>
      </c>
      <c r="I135" s="3"/>
      <c r="J135" s="7">
        <f t="shared" si="29"/>
        <v>3.1402473593964632E-3</v>
      </c>
      <c r="K135" s="3"/>
      <c r="L135" s="8">
        <f t="shared" si="30"/>
        <v>-2999.8999999999996</v>
      </c>
      <c r="M135" s="3"/>
      <c r="N135" s="7">
        <f t="shared" si="31"/>
        <v>-0.41343715545755233</v>
      </c>
      <c r="O135" s="12"/>
      <c r="P135" s="8">
        <v>26541.01</v>
      </c>
      <c r="Q135" s="3"/>
      <c r="R135" s="7">
        <f t="shared" si="32"/>
        <v>1.6962921454788601E-3</v>
      </c>
      <c r="S135" s="3"/>
      <c r="T135" s="8">
        <v>57690</v>
      </c>
      <c r="U135" s="3"/>
      <c r="V135" s="7">
        <f t="shared" si="33"/>
        <v>3.4265384661758959E-3</v>
      </c>
      <c r="W135" s="3"/>
      <c r="X135" s="8">
        <f t="shared" si="34"/>
        <v>-31148.99</v>
      </c>
      <c r="Y135" s="3"/>
      <c r="Z135" s="7">
        <f t="shared" si="35"/>
        <v>-0.53993742416363322</v>
      </c>
    </row>
    <row r="136" spans="1:26" s="70" customFormat="1" ht="15" hidden="1" customHeight="1" outlineLevel="2" x14ac:dyDescent="0.3">
      <c r="A136" s="26"/>
      <c r="B136" s="12" t="str">
        <f>CONCATENATE("          ","6283"," - ","PLANT SERVICE")</f>
        <v xml:space="preserve">          6283 - PLANT SERVICE</v>
      </c>
      <c r="C136" s="12"/>
      <c r="D136" s="8"/>
      <c r="E136" s="3"/>
      <c r="F136" s="7">
        <f t="shared" si="28"/>
        <v>0</v>
      </c>
      <c r="G136" s="3"/>
      <c r="H136" s="8">
        <v>100</v>
      </c>
      <c r="I136" s="3"/>
      <c r="J136" s="7">
        <f t="shared" si="29"/>
        <v>4.3277940454747287E-5</v>
      </c>
      <c r="K136" s="3"/>
      <c r="L136" s="8">
        <f t="shared" si="30"/>
        <v>-100</v>
      </c>
      <c r="M136" s="3"/>
      <c r="N136" s="7">
        <f t="shared" si="31"/>
        <v>-1</v>
      </c>
      <c r="O136" s="12"/>
      <c r="P136" s="8"/>
      <c r="Q136" s="3"/>
      <c r="R136" s="7">
        <f t="shared" si="32"/>
        <v>0</v>
      </c>
      <c r="S136" s="3"/>
      <c r="T136" s="8">
        <v>800</v>
      </c>
      <c r="U136" s="3"/>
      <c r="V136" s="7">
        <f t="shared" si="33"/>
        <v>4.7516567393668166E-5</v>
      </c>
      <c r="W136" s="3"/>
      <c r="X136" s="8">
        <f t="shared" si="34"/>
        <v>-800</v>
      </c>
      <c r="Y136" s="3"/>
      <c r="Z136" s="7">
        <f t="shared" si="35"/>
        <v>-1</v>
      </c>
    </row>
    <row r="137" spans="1:26" s="70" customFormat="1" ht="15" hidden="1" customHeight="1" outlineLevel="2" x14ac:dyDescent="0.3">
      <c r="A137" s="26"/>
      <c r="B137" s="12" t="str">
        <f>CONCATENATE("          ","6284"," - ","TRASH REMOVAL EXPENSE")</f>
        <v xml:space="preserve">          6284 - TRASH REMOVAL EXPENSE</v>
      </c>
      <c r="C137" s="12"/>
      <c r="D137" s="8">
        <v>149.69999999999999</v>
      </c>
      <c r="E137" s="3"/>
      <c r="F137" s="7">
        <f t="shared" si="28"/>
        <v>5.5738370003862619E-5</v>
      </c>
      <c r="G137" s="3"/>
      <c r="H137" s="8">
        <v>1660</v>
      </c>
      <c r="I137" s="3"/>
      <c r="J137" s="7">
        <f t="shared" si="29"/>
        <v>7.1841381154880493E-4</v>
      </c>
      <c r="K137" s="3"/>
      <c r="L137" s="8">
        <f t="shared" si="30"/>
        <v>-1510.3</v>
      </c>
      <c r="M137" s="3"/>
      <c r="N137" s="7">
        <f t="shared" si="31"/>
        <v>-0.90981927710843369</v>
      </c>
      <c r="O137" s="12"/>
      <c r="P137" s="8">
        <v>1190.47</v>
      </c>
      <c r="Q137" s="3"/>
      <c r="R137" s="7">
        <f t="shared" si="32"/>
        <v>7.608545833139805E-5</v>
      </c>
      <c r="S137" s="3"/>
      <c r="T137" s="8">
        <v>13400</v>
      </c>
      <c r="U137" s="3"/>
      <c r="V137" s="7">
        <f t="shared" si="33"/>
        <v>7.9590250384394185E-4</v>
      </c>
      <c r="W137" s="3"/>
      <c r="X137" s="8">
        <f t="shared" si="34"/>
        <v>-12209.53</v>
      </c>
      <c r="Y137" s="3"/>
      <c r="Z137" s="7">
        <f t="shared" si="35"/>
        <v>-0.91115895522388068</v>
      </c>
    </row>
    <row r="138" spans="1:26" s="70" customFormat="1" ht="15" hidden="1" customHeight="1" outlineLevel="2" x14ac:dyDescent="0.3">
      <c r="A138" s="26"/>
      <c r="B138" s="12" t="str">
        <f>CONCATENATE("          ","6285"," - ","JANITORIAL SERVICES")</f>
        <v xml:space="preserve">          6285 - JANITORIAL SERVICES</v>
      </c>
      <c r="C138" s="12"/>
      <c r="D138" s="8">
        <v>28235.23</v>
      </c>
      <c r="E138" s="3"/>
      <c r="F138" s="7">
        <f t="shared" si="28"/>
        <v>1.0512930506908229E-2</v>
      </c>
      <c r="G138" s="3"/>
      <c r="H138" s="8">
        <v>23083</v>
      </c>
      <c r="I138" s="3"/>
      <c r="J138" s="7">
        <f t="shared" si="29"/>
        <v>9.9898469951693169E-3</v>
      </c>
      <c r="K138" s="3"/>
      <c r="L138" s="8">
        <f t="shared" si="30"/>
        <v>5152.2299999999996</v>
      </c>
      <c r="M138" s="3"/>
      <c r="N138" s="7">
        <f t="shared" si="31"/>
        <v>0.22320452280899361</v>
      </c>
      <c r="O138" s="12"/>
      <c r="P138" s="8">
        <v>195811.91</v>
      </c>
      <c r="Q138" s="3"/>
      <c r="R138" s="7">
        <f t="shared" si="32"/>
        <v>1.2514753768760628E-2</v>
      </c>
      <c r="S138" s="3"/>
      <c r="T138" s="8">
        <v>177212</v>
      </c>
      <c r="U138" s="3"/>
      <c r="V138" s="7">
        <f t="shared" si="33"/>
        <v>1.0525632426208404E-2</v>
      </c>
      <c r="W138" s="3"/>
      <c r="X138" s="8">
        <f t="shared" si="34"/>
        <v>18599.910000000003</v>
      </c>
      <c r="Y138" s="3"/>
      <c r="Z138" s="7">
        <f t="shared" si="35"/>
        <v>0.10495852425343657</v>
      </c>
    </row>
    <row r="139" spans="1:26" s="70" customFormat="1" ht="15" hidden="1" customHeight="1" outlineLevel="2" x14ac:dyDescent="0.3">
      <c r="A139" s="26"/>
      <c r="B139" s="12" t="str">
        <f>CONCATENATE("          ","6286"," - ","LAUNDRY EXPENSE")</f>
        <v xml:space="preserve">          6286 - LAUNDRY EXPENSE</v>
      </c>
      <c r="C139" s="12"/>
      <c r="D139" s="8">
        <v>3250.27</v>
      </c>
      <c r="E139" s="3"/>
      <c r="F139" s="7">
        <f t="shared" si="28"/>
        <v>1.2101853832495295E-3</v>
      </c>
      <c r="G139" s="3"/>
      <c r="H139" s="8">
        <v>5354</v>
      </c>
      <c r="I139" s="3"/>
      <c r="J139" s="7">
        <f t="shared" si="29"/>
        <v>2.3171009319471699E-3</v>
      </c>
      <c r="K139" s="3"/>
      <c r="L139" s="8">
        <f t="shared" si="30"/>
        <v>-2103.73</v>
      </c>
      <c r="M139" s="3"/>
      <c r="N139" s="7">
        <f t="shared" si="31"/>
        <v>-0.39292678371311168</v>
      </c>
      <c r="O139" s="12"/>
      <c r="P139" s="8">
        <v>23822.97</v>
      </c>
      <c r="Q139" s="3"/>
      <c r="R139" s="7">
        <f t="shared" si="32"/>
        <v>1.5225764540602836E-3</v>
      </c>
      <c r="S139" s="3"/>
      <c r="T139" s="8">
        <v>41718</v>
      </c>
      <c r="U139" s="3"/>
      <c r="V139" s="7">
        <f t="shared" si="33"/>
        <v>2.4778701981613108E-3</v>
      </c>
      <c r="W139" s="3"/>
      <c r="X139" s="8">
        <f t="shared" si="34"/>
        <v>-17895.03</v>
      </c>
      <c r="Y139" s="3"/>
      <c r="Z139" s="7">
        <f t="shared" si="35"/>
        <v>-0.42895225082698113</v>
      </c>
    </row>
    <row r="140" spans="1:26" s="69" customFormat="1" ht="15" customHeight="1" outlineLevel="1" collapsed="1" x14ac:dyDescent="0.3">
      <c r="A140" s="25"/>
      <c r="B140" s="14" t="str">
        <f>CONCATENATE("     ","Subscriptions &amp; Dues                              ")</f>
        <v xml:space="preserve">     Subscriptions &amp; Dues                              </v>
      </c>
      <c r="C140" s="14"/>
      <c r="D140" s="2">
        <f>SUM(OSRRefD22_21x_0)</f>
        <v>799.24</v>
      </c>
      <c r="E140" s="2"/>
      <c r="F140" s="6">
        <f t="shared" si="28"/>
        <v>2.9758406708007456E-4</v>
      </c>
      <c r="G140" s="2"/>
      <c r="H140" s="2">
        <f>SUM(OSRRefH22_21x_0)</f>
        <v>2156</v>
      </c>
      <c r="I140" s="2"/>
      <c r="J140" s="6">
        <f t="shared" si="29"/>
        <v>9.3307239620435151E-4</v>
      </c>
      <c r="K140" s="2"/>
      <c r="L140" s="2">
        <f t="shared" si="30"/>
        <v>-1356.76</v>
      </c>
      <c r="M140" s="2"/>
      <c r="N140" s="6">
        <f t="shared" si="31"/>
        <v>-0.6292949907235621</v>
      </c>
      <c r="O140" s="14"/>
      <c r="P140" s="2">
        <f>SUM(OSRRefP22_21x_0)</f>
        <v>7026.08</v>
      </c>
      <c r="Q140" s="2"/>
      <c r="R140" s="6">
        <f t="shared" si="32"/>
        <v>4.4905164940995502E-4</v>
      </c>
      <c r="S140" s="2"/>
      <c r="T140" s="2">
        <f>SUM(OSRRefT22_21x_0)</f>
        <v>16588</v>
      </c>
      <c r="U140" s="2"/>
      <c r="V140" s="6">
        <f t="shared" si="33"/>
        <v>9.8525602490770947E-4</v>
      </c>
      <c r="W140" s="2"/>
      <c r="X140" s="2">
        <f t="shared" si="34"/>
        <v>-9561.92</v>
      </c>
      <c r="Y140" s="2"/>
      <c r="Z140" s="6">
        <f t="shared" si="35"/>
        <v>-0.57643597781528821</v>
      </c>
    </row>
    <row r="141" spans="1:26" s="70" customFormat="1" ht="15" hidden="1" customHeight="1" outlineLevel="2" x14ac:dyDescent="0.3">
      <c r="A141" s="26"/>
      <c r="B141" s="12" t="str">
        <f>CONCATENATE("          ","6258"," - ","MEMBERSHIP DUES")</f>
        <v xml:space="preserve">          6258 - MEMBERSHIP DUES</v>
      </c>
      <c r="C141" s="12"/>
      <c r="D141" s="8">
        <v>176.99</v>
      </c>
      <c r="E141" s="3"/>
      <c r="F141" s="7">
        <f t="shared" si="28"/>
        <v>6.5899359432088477E-5</v>
      </c>
      <c r="G141" s="3"/>
      <c r="H141" s="8">
        <v>1385</v>
      </c>
      <c r="I141" s="3"/>
      <c r="J141" s="7">
        <f t="shared" si="29"/>
        <v>5.9939947529824989E-4</v>
      </c>
      <c r="K141" s="3"/>
      <c r="L141" s="8">
        <f t="shared" si="30"/>
        <v>-1208.01</v>
      </c>
      <c r="M141" s="3"/>
      <c r="N141" s="7">
        <f t="shared" si="31"/>
        <v>-0.87220938628158839</v>
      </c>
      <c r="O141" s="12"/>
      <c r="P141" s="8">
        <v>1870.72</v>
      </c>
      <c r="Q141" s="3"/>
      <c r="R141" s="7">
        <f t="shared" si="32"/>
        <v>1.1956167615287488E-4</v>
      </c>
      <c r="S141" s="3"/>
      <c r="T141" s="8">
        <v>9270</v>
      </c>
      <c r="U141" s="3"/>
      <c r="V141" s="7">
        <f t="shared" si="33"/>
        <v>5.505982246741299E-4</v>
      </c>
      <c r="W141" s="3"/>
      <c r="X141" s="8">
        <f t="shared" si="34"/>
        <v>-7399.28</v>
      </c>
      <c r="Y141" s="3"/>
      <c r="Z141" s="7">
        <f t="shared" si="35"/>
        <v>-0.79819633225458464</v>
      </c>
    </row>
    <row r="142" spans="1:26" s="70" customFormat="1" ht="15" hidden="1" customHeight="1" outlineLevel="2" x14ac:dyDescent="0.3">
      <c r="A142" s="26"/>
      <c r="B142" s="12" t="str">
        <f>CONCATENATE("          ","6275"," - ","SUBSCRIPTIONS")</f>
        <v xml:space="preserve">          6275 - SUBSCRIPTIONS</v>
      </c>
      <c r="C142" s="12"/>
      <c r="D142" s="8">
        <v>622.25</v>
      </c>
      <c r="E142" s="3"/>
      <c r="F142" s="7">
        <f t="shared" si="28"/>
        <v>2.3168470764798609E-4</v>
      </c>
      <c r="G142" s="3"/>
      <c r="H142" s="8">
        <v>771</v>
      </c>
      <c r="I142" s="3"/>
      <c r="J142" s="7">
        <f t="shared" si="29"/>
        <v>3.3367292090610157E-4</v>
      </c>
      <c r="K142" s="3"/>
      <c r="L142" s="8">
        <f t="shared" si="30"/>
        <v>-148.75</v>
      </c>
      <c r="M142" s="3"/>
      <c r="N142" s="7">
        <f t="shared" si="31"/>
        <v>-0.19293125810635539</v>
      </c>
      <c r="O142" s="12"/>
      <c r="P142" s="8">
        <v>5155.3599999999997</v>
      </c>
      <c r="Q142" s="3"/>
      <c r="R142" s="7">
        <f t="shared" si="32"/>
        <v>3.2948997325708016E-4</v>
      </c>
      <c r="S142" s="3"/>
      <c r="T142" s="8">
        <v>7318</v>
      </c>
      <c r="U142" s="3"/>
      <c r="V142" s="7">
        <f t="shared" si="33"/>
        <v>4.3465780023357956E-4</v>
      </c>
      <c r="W142" s="3"/>
      <c r="X142" s="8">
        <f t="shared" si="34"/>
        <v>-2162.6400000000003</v>
      </c>
      <c r="Y142" s="3"/>
      <c r="Z142" s="7">
        <f t="shared" si="35"/>
        <v>-0.29552336704017496</v>
      </c>
    </row>
    <row r="143" spans="1:26" s="69" customFormat="1" ht="15" customHeight="1" outlineLevel="1" collapsed="1" x14ac:dyDescent="0.3">
      <c r="A143" s="25"/>
      <c r="B143" s="14" t="str">
        <f>CONCATENATE("     ","Supplies                                          ")</f>
        <v xml:space="preserve">     Supplies                                          </v>
      </c>
      <c r="C143" s="14"/>
      <c r="D143" s="2">
        <f>SUM(OSRRefD22_22x_0)</f>
        <v>54570.229999999996</v>
      </c>
      <c r="E143" s="2"/>
      <c r="F143" s="6">
        <f t="shared" si="28"/>
        <v>2.0318341155216326E-2</v>
      </c>
      <c r="G143" s="2"/>
      <c r="H143" s="2">
        <f>SUM(OSRRefH22_22x_0)</f>
        <v>53415</v>
      </c>
      <c r="I143" s="2"/>
      <c r="J143" s="6">
        <f t="shared" si="29"/>
        <v>2.3116911893903264E-2</v>
      </c>
      <c r="K143" s="2"/>
      <c r="L143" s="2">
        <f t="shared" si="30"/>
        <v>1155.2299999999959</v>
      </c>
      <c r="M143" s="2"/>
      <c r="N143" s="6">
        <f t="shared" si="31"/>
        <v>2.1627445474117681E-2</v>
      </c>
      <c r="O143" s="14"/>
      <c r="P143" s="2">
        <f>SUM(OSRRefP22_22x_0)</f>
        <v>374943.89</v>
      </c>
      <c r="Q143" s="2"/>
      <c r="R143" s="6">
        <f t="shared" si="32"/>
        <v>2.3963457894115175E-2</v>
      </c>
      <c r="S143" s="2"/>
      <c r="T143" s="2">
        <f>SUM(OSRRefT22_22x_0)</f>
        <v>426698</v>
      </c>
      <c r="U143" s="2"/>
      <c r="V143" s="6">
        <f t="shared" si="33"/>
        <v>2.5344030342179275E-2</v>
      </c>
      <c r="W143" s="2"/>
      <c r="X143" s="2">
        <f t="shared" si="34"/>
        <v>-51754.109999999986</v>
      </c>
      <c r="Y143" s="2"/>
      <c r="Z143" s="6">
        <f t="shared" si="35"/>
        <v>-0.12128978809368683</v>
      </c>
    </row>
    <row r="144" spans="1:26" s="70" customFormat="1" ht="15" hidden="1" customHeight="1" outlineLevel="2" x14ac:dyDescent="0.3">
      <c r="A144" s="26"/>
      <c r="B144" s="12" t="str">
        <f>CONCATENATE("          ","6234"," - ","EXPENDABLE SUPPLIES &amp; EQUIPMEN")</f>
        <v xml:space="preserve">          6234 - EXPENDABLE SUPPLIES &amp; EQUIPMEN</v>
      </c>
      <c r="C144" s="12"/>
      <c r="D144" s="8"/>
      <c r="E144" s="3"/>
      <c r="F144" s="7">
        <f t="shared" si="28"/>
        <v>0</v>
      </c>
      <c r="G144" s="3"/>
      <c r="H144" s="8">
        <v>6492</v>
      </c>
      <c r="I144" s="3"/>
      <c r="J144" s="7">
        <f t="shared" si="29"/>
        <v>2.8096038943221939E-3</v>
      </c>
      <c r="K144" s="3"/>
      <c r="L144" s="8">
        <f t="shared" si="30"/>
        <v>-6492</v>
      </c>
      <c r="M144" s="3"/>
      <c r="N144" s="7">
        <f t="shared" si="31"/>
        <v>-1</v>
      </c>
      <c r="O144" s="12"/>
      <c r="P144" s="8">
        <v>6879.21</v>
      </c>
      <c r="Q144" s="3"/>
      <c r="R144" s="7">
        <f t="shared" si="32"/>
        <v>4.3966487673602588E-4</v>
      </c>
      <c r="S144" s="3"/>
      <c r="T144" s="8">
        <v>51586</v>
      </c>
      <c r="U144" s="3"/>
      <c r="V144" s="7">
        <f t="shared" si="33"/>
        <v>3.0639870569622077E-3</v>
      </c>
      <c r="W144" s="3"/>
      <c r="X144" s="8">
        <f t="shared" si="34"/>
        <v>-44706.79</v>
      </c>
      <c r="Y144" s="3"/>
      <c r="Z144" s="7">
        <f t="shared" si="35"/>
        <v>-0.86664579537083708</v>
      </c>
    </row>
    <row r="145" spans="1:26" s="70" customFormat="1" ht="15" hidden="1" customHeight="1" outlineLevel="2" x14ac:dyDescent="0.3">
      <c r="A145" s="26"/>
      <c r="B145" s="12" t="str">
        <f>CONCATENATE("          ","6235"," - ","COVID-19 EXPENSES")</f>
        <v xml:space="preserve">          6235 - COVID-19 EXPENSES</v>
      </c>
      <c r="C145" s="12"/>
      <c r="D145" s="8">
        <v>158.76</v>
      </c>
      <c r="E145" s="3"/>
      <c r="F145" s="7">
        <f t="shared" si="28"/>
        <v>5.9111714240569334E-5</v>
      </c>
      <c r="G145" s="3"/>
      <c r="H145" s="8">
        <v>375</v>
      </c>
      <c r="I145" s="3"/>
      <c r="J145" s="7">
        <f t="shared" si="29"/>
        <v>1.6229227670530233E-4</v>
      </c>
      <c r="K145" s="3"/>
      <c r="L145" s="8">
        <f t="shared" si="30"/>
        <v>-216.24</v>
      </c>
      <c r="M145" s="3"/>
      <c r="N145" s="7">
        <f t="shared" si="31"/>
        <v>-0.57664000000000004</v>
      </c>
      <c r="O145" s="12"/>
      <c r="P145" s="8">
        <v>4101</v>
      </c>
      <c r="Q145" s="3"/>
      <c r="R145" s="7">
        <f t="shared" si="32"/>
        <v>2.6210359321701796E-4</v>
      </c>
      <c r="S145" s="3"/>
      <c r="T145" s="8">
        <v>3250</v>
      </c>
      <c r="U145" s="3"/>
      <c r="V145" s="7">
        <f t="shared" si="33"/>
        <v>1.9303605503677692E-4</v>
      </c>
      <c r="W145" s="3"/>
      <c r="X145" s="8">
        <f t="shared" si="34"/>
        <v>851</v>
      </c>
      <c r="Y145" s="3"/>
      <c r="Z145" s="7">
        <f t="shared" si="35"/>
        <v>0.26184615384615384</v>
      </c>
    </row>
    <row r="146" spans="1:26" s="70" customFormat="1" ht="15" hidden="1" customHeight="1" outlineLevel="2" x14ac:dyDescent="0.3">
      <c r="A146" s="26"/>
      <c r="B146" s="12" t="str">
        <f>CONCATENATE("          ","6237"," - ","JANITORIAL SUPPLIES")</f>
        <v xml:space="preserve">          6237 - JANITORIAL SUPPLIES</v>
      </c>
      <c r="C146" s="12"/>
      <c r="D146" s="8">
        <v>9698.02</v>
      </c>
      <c r="E146" s="3"/>
      <c r="F146" s="7">
        <f t="shared" si="28"/>
        <v>3.6109006483958572E-3</v>
      </c>
      <c r="G146" s="3"/>
      <c r="H146" s="8">
        <v>10035</v>
      </c>
      <c r="I146" s="3"/>
      <c r="J146" s="7">
        <f t="shared" si="29"/>
        <v>4.3429413246338904E-3</v>
      </c>
      <c r="K146" s="3"/>
      <c r="L146" s="8">
        <f t="shared" si="30"/>
        <v>-336.97999999999956</v>
      </c>
      <c r="M146" s="3"/>
      <c r="N146" s="7">
        <f t="shared" si="31"/>
        <v>-3.3580468360737373E-2</v>
      </c>
      <c r="O146" s="12"/>
      <c r="P146" s="8">
        <v>54768.17</v>
      </c>
      <c r="Q146" s="3"/>
      <c r="R146" s="7">
        <f t="shared" si="32"/>
        <v>3.5003497076128961E-3</v>
      </c>
      <c r="S146" s="3"/>
      <c r="T146" s="8">
        <v>84638</v>
      </c>
      <c r="U146" s="3"/>
      <c r="V146" s="7">
        <f t="shared" si="33"/>
        <v>5.027134038831608E-3</v>
      </c>
      <c r="W146" s="3"/>
      <c r="X146" s="8">
        <f t="shared" si="34"/>
        <v>-29869.83</v>
      </c>
      <c r="Y146" s="3"/>
      <c r="Z146" s="7">
        <f t="shared" si="35"/>
        <v>-0.3529127578628985</v>
      </c>
    </row>
    <row r="147" spans="1:26" s="70" customFormat="1" ht="15" hidden="1" customHeight="1" outlineLevel="2" x14ac:dyDescent="0.3">
      <c r="A147" s="26"/>
      <c r="B147" s="12" t="str">
        <f>CONCATENATE("          ","6239"," - ","KITCHEN SUPPLIES")</f>
        <v xml:space="preserve">          6239 - KITCHEN SUPPLIES</v>
      </c>
      <c r="C147" s="12"/>
      <c r="D147" s="8">
        <v>3639.07</v>
      </c>
      <c r="E147" s="3"/>
      <c r="F147" s="7">
        <f t="shared" si="28"/>
        <v>1.3549487650631688E-3</v>
      </c>
      <c r="G147" s="3"/>
      <c r="H147" s="8">
        <v>3550</v>
      </c>
      <c r="I147" s="3"/>
      <c r="J147" s="7">
        <f t="shared" si="29"/>
        <v>1.5363668861435287E-3</v>
      </c>
      <c r="K147" s="3"/>
      <c r="L147" s="8">
        <f t="shared" si="30"/>
        <v>89.070000000000164</v>
      </c>
      <c r="M147" s="3"/>
      <c r="N147" s="7">
        <f t="shared" si="31"/>
        <v>2.5090140845070469E-2</v>
      </c>
      <c r="O147" s="12"/>
      <c r="P147" s="8">
        <v>32599.3</v>
      </c>
      <c r="Q147" s="3"/>
      <c r="R147" s="7">
        <f t="shared" si="32"/>
        <v>2.0834902868469966E-3</v>
      </c>
      <c r="S147" s="3"/>
      <c r="T147" s="8">
        <v>40849</v>
      </c>
      <c r="U147" s="3"/>
      <c r="V147" s="7">
        <f t="shared" si="33"/>
        <v>2.4262553268299385E-3</v>
      </c>
      <c r="W147" s="3"/>
      <c r="X147" s="8">
        <f t="shared" si="34"/>
        <v>-8249.7000000000007</v>
      </c>
      <c r="Y147" s="3"/>
      <c r="Z147" s="7">
        <f t="shared" si="35"/>
        <v>-0.20195598423462022</v>
      </c>
    </row>
    <row r="148" spans="1:26" s="70" customFormat="1" ht="15" hidden="1" customHeight="1" outlineLevel="2" x14ac:dyDescent="0.3">
      <c r="A148" s="26"/>
      <c r="B148" s="12" t="str">
        <f>CONCATENATE("          ","6241"," - ","OFFICE EXPENSE")</f>
        <v xml:space="preserve">          6241 - OFFICE EXPENSE</v>
      </c>
      <c r="C148" s="12"/>
      <c r="D148" s="8">
        <v>7961.45</v>
      </c>
      <c r="E148" s="3"/>
      <c r="F148" s="7">
        <f t="shared" si="28"/>
        <v>2.9643169396610025E-3</v>
      </c>
      <c r="G148" s="3"/>
      <c r="H148" s="8">
        <v>2275</v>
      </c>
      <c r="I148" s="3"/>
      <c r="J148" s="7">
        <f t="shared" si="29"/>
        <v>9.845731453455007E-4</v>
      </c>
      <c r="K148" s="3"/>
      <c r="L148" s="8">
        <f t="shared" si="30"/>
        <v>5686.45</v>
      </c>
      <c r="M148" s="3"/>
      <c r="N148" s="7">
        <f t="shared" si="31"/>
        <v>2.4995384615384615</v>
      </c>
      <c r="O148" s="12"/>
      <c r="P148" s="8">
        <v>56724.79</v>
      </c>
      <c r="Q148" s="3"/>
      <c r="R148" s="7">
        <f t="shared" si="32"/>
        <v>3.6254014346453959E-3</v>
      </c>
      <c r="S148" s="3"/>
      <c r="T148" s="8">
        <v>20577</v>
      </c>
      <c r="U148" s="3"/>
      <c r="V148" s="7">
        <f t="shared" si="33"/>
        <v>1.2221855090743874E-3</v>
      </c>
      <c r="W148" s="3"/>
      <c r="X148" s="8">
        <f t="shared" si="34"/>
        <v>36147.79</v>
      </c>
      <c r="Y148" s="3"/>
      <c r="Z148" s="7">
        <f t="shared" si="35"/>
        <v>1.75670846090295</v>
      </c>
    </row>
    <row r="149" spans="1:26" s="70" customFormat="1" ht="15" hidden="1" customHeight="1" outlineLevel="2" x14ac:dyDescent="0.3">
      <c r="A149" s="26"/>
      <c r="B149" s="12" t="str">
        <f>CONCATENATE("          ","6243"," - ","PAPER SUPPLIES")</f>
        <v xml:space="preserve">          6243 - PAPER SUPPLIES</v>
      </c>
      <c r="C149" s="12"/>
      <c r="D149" s="8">
        <v>15191.45</v>
      </c>
      <c r="E149" s="3"/>
      <c r="F149" s="7">
        <f t="shared" si="28"/>
        <v>5.6562903206090771E-3</v>
      </c>
      <c r="G149" s="3"/>
      <c r="H149" s="8">
        <v>17900</v>
      </c>
      <c r="I149" s="3"/>
      <c r="J149" s="7">
        <f t="shared" si="29"/>
        <v>7.746751341399764E-3</v>
      </c>
      <c r="K149" s="3"/>
      <c r="L149" s="8">
        <f t="shared" si="30"/>
        <v>-2708.5499999999993</v>
      </c>
      <c r="M149" s="3"/>
      <c r="N149" s="7">
        <f t="shared" si="31"/>
        <v>-0.15131564245810053</v>
      </c>
      <c r="O149" s="12"/>
      <c r="P149" s="8">
        <v>158979.79</v>
      </c>
      <c r="Q149" s="3"/>
      <c r="R149" s="7">
        <f t="shared" si="32"/>
        <v>1.0160734993388673E-2</v>
      </c>
      <c r="S149" s="3"/>
      <c r="T149" s="8">
        <v>142233</v>
      </c>
      <c r="U149" s="3"/>
      <c r="V149" s="7">
        <f t="shared" si="33"/>
        <v>8.4480299126295059E-3</v>
      </c>
      <c r="W149" s="3"/>
      <c r="X149" s="8">
        <f t="shared" si="34"/>
        <v>16746.790000000008</v>
      </c>
      <c r="Y149" s="3"/>
      <c r="Z149" s="7">
        <f t="shared" si="35"/>
        <v>0.11774194455576419</v>
      </c>
    </row>
    <row r="150" spans="1:26" s="70" customFormat="1" ht="15" hidden="1" customHeight="1" outlineLevel="2" x14ac:dyDescent="0.3">
      <c r="A150" s="26"/>
      <c r="B150" s="12" t="str">
        <f>CONCATENATE("          ","6244"," - ","SAFETY SUPPLY EXPENSE")</f>
        <v xml:space="preserve">          6244 - SAFETY SUPPLY EXPENSE</v>
      </c>
      <c r="C150" s="12"/>
      <c r="D150" s="8"/>
      <c r="E150" s="3"/>
      <c r="F150" s="7">
        <f t="shared" si="28"/>
        <v>0</v>
      </c>
      <c r="G150" s="3"/>
      <c r="H150" s="8">
        <v>525</v>
      </c>
      <c r="I150" s="3"/>
      <c r="J150" s="7">
        <f t="shared" si="29"/>
        <v>2.2720918738742326E-4</v>
      </c>
      <c r="K150" s="3"/>
      <c r="L150" s="8">
        <f t="shared" si="30"/>
        <v>-525</v>
      </c>
      <c r="M150" s="3"/>
      <c r="N150" s="7">
        <f t="shared" si="31"/>
        <v>-1</v>
      </c>
      <c r="O150" s="12"/>
      <c r="P150" s="8"/>
      <c r="Q150" s="3"/>
      <c r="R150" s="7">
        <f t="shared" si="32"/>
        <v>0</v>
      </c>
      <c r="S150" s="3"/>
      <c r="T150" s="8">
        <v>4300</v>
      </c>
      <c r="U150" s="3"/>
      <c r="V150" s="7">
        <f t="shared" si="33"/>
        <v>2.5540154974096639E-4</v>
      </c>
      <c r="W150" s="3"/>
      <c r="X150" s="8">
        <f t="shared" si="34"/>
        <v>-4300</v>
      </c>
      <c r="Y150" s="3"/>
      <c r="Z150" s="7">
        <f t="shared" si="35"/>
        <v>-1</v>
      </c>
    </row>
    <row r="151" spans="1:26" s="70" customFormat="1" ht="15" hidden="1" customHeight="1" outlineLevel="2" x14ac:dyDescent="0.3">
      <c r="A151" s="26"/>
      <c r="B151" s="12" t="str">
        <f>CONCATENATE("          ","6245"," - ","PRINTING")</f>
        <v xml:space="preserve">          6245 - PRINTING</v>
      </c>
      <c r="C151" s="12"/>
      <c r="D151" s="8">
        <v>502.78</v>
      </c>
      <c r="E151" s="3"/>
      <c r="F151" s="7">
        <f t="shared" si="28"/>
        <v>1.8720198844717465E-4</v>
      </c>
      <c r="G151" s="3"/>
      <c r="H151" s="8">
        <v>1700</v>
      </c>
      <c r="I151" s="3"/>
      <c r="J151" s="7">
        <f t="shared" si="29"/>
        <v>7.3572498773070386E-4</v>
      </c>
      <c r="K151" s="3"/>
      <c r="L151" s="8">
        <f t="shared" si="30"/>
        <v>-1197.22</v>
      </c>
      <c r="M151" s="3"/>
      <c r="N151" s="7">
        <f t="shared" si="31"/>
        <v>-0.70424705882352945</v>
      </c>
      <c r="O151" s="12"/>
      <c r="P151" s="8">
        <v>4375.5200000000004</v>
      </c>
      <c r="Q151" s="3"/>
      <c r="R151" s="7">
        <f t="shared" si="32"/>
        <v>2.7964874766957487E-4</v>
      </c>
      <c r="S151" s="3"/>
      <c r="T151" s="8">
        <v>9095</v>
      </c>
      <c r="U151" s="3"/>
      <c r="V151" s="7">
        <f t="shared" si="33"/>
        <v>5.4020397555676499E-4</v>
      </c>
      <c r="W151" s="3"/>
      <c r="X151" s="8">
        <f t="shared" si="34"/>
        <v>-4719.4799999999996</v>
      </c>
      <c r="Y151" s="3"/>
      <c r="Z151" s="7">
        <f t="shared" si="35"/>
        <v>-0.5189092908191314</v>
      </c>
    </row>
    <row r="152" spans="1:26" s="70" customFormat="1" ht="15" hidden="1" customHeight="1" outlineLevel="2" x14ac:dyDescent="0.3">
      <c r="A152" s="26"/>
      <c r="B152" s="12" t="str">
        <f>CONCATENATE("          ","6247"," - ","STORE SUPPLIES")</f>
        <v xml:space="preserve">          6247 - STORE SUPPLIES</v>
      </c>
      <c r="C152" s="12"/>
      <c r="D152" s="8">
        <v>15896.45</v>
      </c>
      <c r="E152" s="3"/>
      <c r="F152" s="7">
        <f t="shared" si="28"/>
        <v>5.9187856502865869E-3</v>
      </c>
      <c r="G152" s="3"/>
      <c r="H152" s="8">
        <v>9475</v>
      </c>
      <c r="I152" s="3"/>
      <c r="J152" s="7">
        <f t="shared" si="29"/>
        <v>4.1005848580873052E-3</v>
      </c>
      <c r="K152" s="3"/>
      <c r="L152" s="8">
        <f t="shared" si="30"/>
        <v>6421.4500000000007</v>
      </c>
      <c r="M152" s="3"/>
      <c r="N152" s="7">
        <f t="shared" si="31"/>
        <v>0.67772559366754626</v>
      </c>
      <c r="O152" s="12"/>
      <c r="P152" s="8">
        <v>48780.38</v>
      </c>
      <c r="Q152" s="3"/>
      <c r="R152" s="7">
        <f t="shared" si="32"/>
        <v>3.1176573705173271E-3</v>
      </c>
      <c r="S152" s="3"/>
      <c r="T152" s="8">
        <v>61616</v>
      </c>
      <c r="U152" s="3"/>
      <c r="V152" s="7">
        <f t="shared" si="33"/>
        <v>3.6597260206603223E-3</v>
      </c>
      <c r="W152" s="3"/>
      <c r="X152" s="8">
        <f t="shared" si="34"/>
        <v>-12835.620000000003</v>
      </c>
      <c r="Y152" s="3"/>
      <c r="Z152" s="7">
        <f t="shared" si="35"/>
        <v>-0.20831634640353158</v>
      </c>
    </row>
    <row r="153" spans="1:26" s="70" customFormat="1" ht="15" hidden="1" customHeight="1" outlineLevel="2" x14ac:dyDescent="0.3">
      <c r="A153" s="26"/>
      <c r="B153" s="12" t="str">
        <f>CONCATENATE("          ","6248"," - ","UNIFORMS")</f>
        <v xml:space="preserve">          6248 - UNIFORMS</v>
      </c>
      <c r="C153" s="12"/>
      <c r="D153" s="8">
        <v>1522.25</v>
      </c>
      <c r="E153" s="3"/>
      <c r="F153" s="7">
        <f t="shared" si="28"/>
        <v>5.6678512851289161E-4</v>
      </c>
      <c r="G153" s="3"/>
      <c r="H153" s="8">
        <v>1088</v>
      </c>
      <c r="I153" s="3"/>
      <c r="J153" s="7">
        <f t="shared" si="29"/>
        <v>4.7086399214765046E-4</v>
      </c>
      <c r="K153" s="3"/>
      <c r="L153" s="8">
        <f t="shared" si="30"/>
        <v>434.25</v>
      </c>
      <c r="M153" s="3"/>
      <c r="N153" s="7">
        <f t="shared" si="31"/>
        <v>0.3991268382352941</v>
      </c>
      <c r="O153" s="12"/>
      <c r="P153" s="8">
        <v>7735.73</v>
      </c>
      <c r="Q153" s="3"/>
      <c r="R153" s="7">
        <f t="shared" si="32"/>
        <v>4.9440688348126858E-4</v>
      </c>
      <c r="S153" s="3"/>
      <c r="T153" s="8">
        <v>8554</v>
      </c>
      <c r="U153" s="3"/>
      <c r="V153" s="7">
        <f t="shared" si="33"/>
        <v>5.0807089685679684E-4</v>
      </c>
      <c r="W153" s="3"/>
      <c r="X153" s="8">
        <f t="shared" si="34"/>
        <v>-818.27000000000044</v>
      </c>
      <c r="Y153" s="3"/>
      <c r="Z153" s="7">
        <f t="shared" si="35"/>
        <v>-9.5659340659340716E-2</v>
      </c>
    </row>
    <row r="154" spans="1:26" s="69" customFormat="1" ht="15" customHeight="1" outlineLevel="1" collapsed="1" x14ac:dyDescent="0.3">
      <c r="A154" s="25"/>
      <c r="B154" s="14" t="str">
        <f>CONCATENATE("     ","Telephone/Data Lines                              ")</f>
        <v xml:space="preserve">     Telephone/Data Lines                              </v>
      </c>
      <c r="C154" s="14"/>
      <c r="D154" s="2">
        <f>SUM(OSRRefD22_23x_0)</f>
        <v>3525.37</v>
      </c>
      <c r="E154" s="2"/>
      <c r="F154" s="6">
        <f t="shared" si="28"/>
        <v>1.3126144118939022E-3</v>
      </c>
      <c r="G154" s="2"/>
      <c r="H154" s="2">
        <f>SUM(OSRRefH22_23x_0)</f>
        <v>3549</v>
      </c>
      <c r="I154" s="2"/>
      <c r="J154" s="6">
        <f t="shared" si="29"/>
        <v>1.5359341067389812E-3</v>
      </c>
      <c r="K154" s="2"/>
      <c r="L154" s="2">
        <f t="shared" si="30"/>
        <v>-23.630000000000109</v>
      </c>
      <c r="M154" s="2"/>
      <c r="N154" s="6">
        <f t="shared" si="31"/>
        <v>-6.6582135812905353E-3</v>
      </c>
      <c r="O154" s="14"/>
      <c r="P154" s="2">
        <f>SUM(OSRRefP22_23x_0)</f>
        <v>28528</v>
      </c>
      <c r="Q154" s="2"/>
      <c r="R154" s="6">
        <f t="shared" si="32"/>
        <v>1.823284883515018E-3</v>
      </c>
      <c r="S154" s="2"/>
      <c r="T154" s="2">
        <f>SUM(OSRRefT22_23x_0)</f>
        <v>29442</v>
      </c>
      <c r="U154" s="2"/>
      <c r="V154" s="6">
        <f t="shared" si="33"/>
        <v>1.7487284715054726E-3</v>
      </c>
      <c r="W154" s="2"/>
      <c r="X154" s="2">
        <f t="shared" si="34"/>
        <v>-914</v>
      </c>
      <c r="Y154" s="2"/>
      <c r="Z154" s="6">
        <f t="shared" si="35"/>
        <v>-3.1044086678894096E-2</v>
      </c>
    </row>
    <row r="155" spans="1:26" s="70" customFormat="1" ht="15" hidden="1" customHeight="1" outlineLevel="2" x14ac:dyDescent="0.3">
      <c r="A155" s="26"/>
      <c r="B155" s="12" t="str">
        <f>CONCATENATE("          ","6303"," - ","DATA PHONE LINES")</f>
        <v xml:space="preserve">          6303 - DATA PHONE LINES</v>
      </c>
      <c r="C155" s="12"/>
      <c r="D155" s="8"/>
      <c r="E155" s="3"/>
      <c r="F155" s="7">
        <f t="shared" si="28"/>
        <v>0</v>
      </c>
      <c r="G155" s="3"/>
      <c r="H155" s="8">
        <v>243</v>
      </c>
      <c r="I155" s="3"/>
      <c r="J155" s="7">
        <f t="shared" si="29"/>
        <v>1.0516539530503591E-4</v>
      </c>
      <c r="K155" s="3"/>
      <c r="L155" s="8">
        <f t="shared" si="30"/>
        <v>-243</v>
      </c>
      <c r="M155" s="3"/>
      <c r="N155" s="7">
        <f t="shared" si="31"/>
        <v>-1</v>
      </c>
      <c r="O155" s="12"/>
      <c r="P155" s="8">
        <v>295</v>
      </c>
      <c r="Q155" s="3"/>
      <c r="R155" s="7">
        <f t="shared" si="32"/>
        <v>1.8854074615708438E-5</v>
      </c>
      <c r="S155" s="3"/>
      <c r="T155" s="8">
        <v>1944</v>
      </c>
      <c r="U155" s="3"/>
      <c r="V155" s="7">
        <f t="shared" si="33"/>
        <v>1.1546525876661365E-4</v>
      </c>
      <c r="W155" s="3"/>
      <c r="X155" s="8">
        <f t="shared" si="34"/>
        <v>-1649</v>
      </c>
      <c r="Y155" s="3"/>
      <c r="Z155" s="7">
        <f t="shared" si="35"/>
        <v>-0.84825102880658432</v>
      </c>
    </row>
    <row r="156" spans="1:26" s="70" customFormat="1" ht="15" hidden="1" customHeight="1" outlineLevel="2" x14ac:dyDescent="0.3">
      <c r="A156" s="26"/>
      <c r="B156" s="12" t="str">
        <f>CONCATENATE("          ","6309"," - ","TELEPHONE")</f>
        <v xml:space="preserve">          6309 - TELEPHONE</v>
      </c>
      <c r="C156" s="12"/>
      <c r="D156" s="8">
        <v>3525.37</v>
      </c>
      <c r="E156" s="3"/>
      <c r="F156" s="7">
        <f t="shared" si="28"/>
        <v>1.3126144118939022E-3</v>
      </c>
      <c r="G156" s="3"/>
      <c r="H156" s="8">
        <v>3306</v>
      </c>
      <c r="I156" s="3"/>
      <c r="J156" s="7">
        <f t="shared" si="29"/>
        <v>1.4307687114339454E-3</v>
      </c>
      <c r="K156" s="3"/>
      <c r="L156" s="8">
        <f t="shared" si="30"/>
        <v>219.36999999999989</v>
      </c>
      <c r="M156" s="3"/>
      <c r="N156" s="7">
        <f t="shared" si="31"/>
        <v>6.6355111917725321E-2</v>
      </c>
      <c r="O156" s="12"/>
      <c r="P156" s="8">
        <v>28233</v>
      </c>
      <c r="Q156" s="3"/>
      <c r="R156" s="7">
        <f t="shared" si="32"/>
        <v>1.8044308088993096E-3</v>
      </c>
      <c r="S156" s="3"/>
      <c r="T156" s="8">
        <v>27498</v>
      </c>
      <c r="U156" s="3"/>
      <c r="V156" s="7">
        <f t="shared" si="33"/>
        <v>1.6332632127388591E-3</v>
      </c>
      <c r="W156" s="3"/>
      <c r="X156" s="8">
        <f t="shared" si="34"/>
        <v>735</v>
      </c>
      <c r="Y156" s="3"/>
      <c r="Z156" s="7">
        <f t="shared" si="35"/>
        <v>2.6729216670303296E-2</v>
      </c>
    </row>
    <row r="157" spans="1:26" s="69" customFormat="1" ht="15" customHeight="1" outlineLevel="1" collapsed="1" x14ac:dyDescent="0.3">
      <c r="A157" s="25"/>
      <c r="B157" s="14" t="str">
        <f>CONCATENATE("     ","Training                                          ")</f>
        <v xml:space="preserve">     Training                                          </v>
      </c>
      <c r="C157" s="14"/>
      <c r="D157" s="2">
        <f>SUM(OSRRefD22_24x_0)</f>
        <v>5100</v>
      </c>
      <c r="E157" s="2"/>
      <c r="F157" s="6">
        <f t="shared" si="28"/>
        <v>1.8989023849011314E-3</v>
      </c>
      <c r="G157" s="2"/>
      <c r="H157" s="2">
        <f>SUM(OSRRefH22_24x_0)</f>
        <v>2640</v>
      </c>
      <c r="I157" s="2"/>
      <c r="J157" s="6">
        <f t="shared" si="29"/>
        <v>1.1425376280053284E-3</v>
      </c>
      <c r="K157" s="2"/>
      <c r="L157" s="2">
        <f t="shared" si="30"/>
        <v>2460</v>
      </c>
      <c r="M157" s="2"/>
      <c r="N157" s="6">
        <f t="shared" si="31"/>
        <v>0.93181818181818177</v>
      </c>
      <c r="O157" s="14"/>
      <c r="P157" s="2">
        <f>SUM(OSRRefP22_24x_0)</f>
        <v>9088.8700000000008</v>
      </c>
      <c r="Q157" s="2"/>
      <c r="R157" s="6">
        <f t="shared" si="32"/>
        <v>5.8088892594058972E-4</v>
      </c>
      <c r="S157" s="2"/>
      <c r="T157" s="2">
        <f>SUM(OSRRefT22_24x_0)</f>
        <v>10150</v>
      </c>
      <c r="U157" s="2"/>
      <c r="V157" s="6">
        <f t="shared" si="33"/>
        <v>6.0286644880716491E-4</v>
      </c>
      <c r="W157" s="2"/>
      <c r="X157" s="2">
        <f t="shared" si="34"/>
        <v>-1061.1299999999992</v>
      </c>
      <c r="Y157" s="2"/>
      <c r="Z157" s="6">
        <f t="shared" si="35"/>
        <v>-0.10454482758620681</v>
      </c>
    </row>
    <row r="158" spans="1:26" s="70" customFormat="1" ht="15" hidden="1" customHeight="1" outlineLevel="2" x14ac:dyDescent="0.3">
      <c r="A158" s="26"/>
      <c r="B158" s="12" t="str">
        <f>CONCATENATE("          ","6376"," - ","TRAINING")</f>
        <v xml:space="preserve">          6376 - TRAINING</v>
      </c>
      <c r="C158" s="12"/>
      <c r="D158" s="8">
        <v>5100</v>
      </c>
      <c r="E158" s="3"/>
      <c r="F158" s="7">
        <f t="shared" si="28"/>
        <v>1.8989023849011314E-3</v>
      </c>
      <c r="G158" s="3"/>
      <c r="H158" s="8">
        <v>2640</v>
      </c>
      <c r="I158" s="3"/>
      <c r="J158" s="7">
        <f t="shared" si="29"/>
        <v>1.1425376280053284E-3</v>
      </c>
      <c r="K158" s="3"/>
      <c r="L158" s="8">
        <f t="shared" si="30"/>
        <v>2460</v>
      </c>
      <c r="M158" s="3"/>
      <c r="N158" s="7">
        <f t="shared" si="31"/>
        <v>0.93181818181818177</v>
      </c>
      <c r="O158" s="12"/>
      <c r="P158" s="8">
        <v>9088.8700000000008</v>
      </c>
      <c r="Q158" s="3"/>
      <c r="R158" s="7">
        <f t="shared" si="32"/>
        <v>5.8088892594058972E-4</v>
      </c>
      <c r="S158" s="3"/>
      <c r="T158" s="8">
        <v>10150</v>
      </c>
      <c r="U158" s="3"/>
      <c r="V158" s="7">
        <f t="shared" si="33"/>
        <v>6.0286644880716491E-4</v>
      </c>
      <c r="W158" s="3"/>
      <c r="X158" s="8">
        <f t="shared" si="34"/>
        <v>-1061.1299999999992</v>
      </c>
      <c r="Y158" s="3"/>
      <c r="Z158" s="7">
        <f t="shared" si="35"/>
        <v>-0.10454482758620681</v>
      </c>
    </row>
    <row r="159" spans="1:26" s="69" customFormat="1" ht="15" customHeight="1" outlineLevel="1" collapsed="1" x14ac:dyDescent="0.3">
      <c r="A159" s="25"/>
      <c r="B159" s="14" t="str">
        <f>CONCATENATE("     ","Travel                                            ")</f>
        <v xml:space="preserve">     Travel                                            </v>
      </c>
      <c r="C159" s="14"/>
      <c r="D159" s="2">
        <f>SUM(OSRRefD22_25x_0)</f>
        <v>329.4</v>
      </c>
      <c r="E159" s="2"/>
      <c r="F159" s="6">
        <f t="shared" si="28"/>
        <v>1.2264675403655541E-4</v>
      </c>
      <c r="G159" s="2"/>
      <c r="H159" s="2">
        <f>SUM(OSRRefH22_25x_0)</f>
        <v>775</v>
      </c>
      <c r="I159" s="2"/>
      <c r="J159" s="6">
        <f t="shared" si="29"/>
        <v>3.3540403852429148E-4</v>
      </c>
      <c r="K159" s="2"/>
      <c r="L159" s="2">
        <f t="shared" si="30"/>
        <v>-445.6</v>
      </c>
      <c r="M159" s="2"/>
      <c r="N159" s="6">
        <f t="shared" si="31"/>
        <v>-0.57496774193548394</v>
      </c>
      <c r="O159" s="14"/>
      <c r="P159" s="2">
        <f>SUM(OSRRefP22_25x_0)</f>
        <v>1929.02</v>
      </c>
      <c r="Q159" s="2"/>
      <c r="R159" s="6">
        <f t="shared" si="32"/>
        <v>1.232877525938776E-4</v>
      </c>
      <c r="S159" s="2"/>
      <c r="T159" s="2">
        <f>SUM(OSRRefT22_25x_0)</f>
        <v>2250</v>
      </c>
      <c r="U159" s="2"/>
      <c r="V159" s="6">
        <f t="shared" si="33"/>
        <v>1.3364034579469171E-4</v>
      </c>
      <c r="W159" s="2"/>
      <c r="X159" s="2">
        <f t="shared" si="34"/>
        <v>-320.98</v>
      </c>
      <c r="Y159" s="2"/>
      <c r="Z159" s="6">
        <f t="shared" si="35"/>
        <v>-0.14265777777777777</v>
      </c>
    </row>
    <row r="160" spans="1:26" s="70" customFormat="1" ht="15" hidden="1" customHeight="1" outlineLevel="2" x14ac:dyDescent="0.3">
      <c r="A160" s="26"/>
      <c r="B160" s="12" t="str">
        <f>CONCATENATE("          ","6292"," - ","TRAVEL/CONFERENCE")</f>
        <v xml:space="preserve">          6292 - TRAVEL/CONFERENCE</v>
      </c>
      <c r="C160" s="12"/>
      <c r="D160" s="8"/>
      <c r="E160" s="3"/>
      <c r="F160" s="7">
        <f t="shared" si="28"/>
        <v>0</v>
      </c>
      <c r="G160" s="3"/>
      <c r="H160" s="8">
        <v>725</v>
      </c>
      <c r="I160" s="3"/>
      <c r="J160" s="7">
        <f t="shared" si="29"/>
        <v>3.1376506829691785E-4</v>
      </c>
      <c r="K160" s="3"/>
      <c r="L160" s="8">
        <f t="shared" si="30"/>
        <v>-725</v>
      </c>
      <c r="M160" s="3"/>
      <c r="N160" s="7">
        <f t="shared" si="31"/>
        <v>-1</v>
      </c>
      <c r="O160" s="12"/>
      <c r="P160" s="8">
        <v>1108.5899999999999</v>
      </c>
      <c r="Q160" s="3"/>
      <c r="R160" s="7">
        <f t="shared" si="32"/>
        <v>7.0852334163485476E-5</v>
      </c>
      <c r="S160" s="3"/>
      <c r="T160" s="8">
        <v>1600</v>
      </c>
      <c r="U160" s="3"/>
      <c r="V160" s="7">
        <f t="shared" si="33"/>
        <v>9.5033134787336331E-5</v>
      </c>
      <c r="W160" s="3"/>
      <c r="X160" s="8">
        <f t="shared" si="34"/>
        <v>-491.41000000000008</v>
      </c>
      <c r="Y160" s="3"/>
      <c r="Z160" s="7">
        <f t="shared" si="35"/>
        <v>-0.30713125000000008</v>
      </c>
    </row>
    <row r="161" spans="1:26" s="70" customFormat="1" ht="15" hidden="1" customHeight="1" outlineLevel="2" x14ac:dyDescent="0.3">
      <c r="A161" s="26"/>
      <c r="B161" s="12" t="str">
        <f>CONCATENATE("          ","6294"," - ","TRAVEL OPERATIONAL")</f>
        <v xml:space="preserve">          6294 - TRAVEL OPERATIONAL</v>
      </c>
      <c r="C161" s="12"/>
      <c r="D161" s="8">
        <v>116.74</v>
      </c>
      <c r="E161" s="3"/>
      <c r="F161" s="7">
        <f t="shared" si="28"/>
        <v>4.346624792418786E-5</v>
      </c>
      <c r="G161" s="3"/>
      <c r="H161" s="8">
        <v>25</v>
      </c>
      <c r="I161" s="3"/>
      <c r="J161" s="7">
        <f t="shared" si="29"/>
        <v>1.0819485113686822E-5</v>
      </c>
      <c r="K161" s="3"/>
      <c r="L161" s="8">
        <f t="shared" si="30"/>
        <v>91.74</v>
      </c>
      <c r="M161" s="3"/>
      <c r="N161" s="7">
        <f t="shared" si="31"/>
        <v>3.6696</v>
      </c>
      <c r="O161" s="12"/>
      <c r="P161" s="8">
        <v>356.67</v>
      </c>
      <c r="Q161" s="3"/>
      <c r="R161" s="7">
        <f t="shared" si="32"/>
        <v>2.2795534892151623E-5</v>
      </c>
      <c r="S161" s="3"/>
      <c r="T161" s="8">
        <v>200</v>
      </c>
      <c r="U161" s="3"/>
      <c r="V161" s="7">
        <f t="shared" si="33"/>
        <v>1.1879141848417041E-5</v>
      </c>
      <c r="W161" s="3"/>
      <c r="X161" s="8">
        <f t="shared" si="34"/>
        <v>156.67000000000002</v>
      </c>
      <c r="Y161" s="3"/>
      <c r="Z161" s="7">
        <f t="shared" si="35"/>
        <v>0.7833500000000001</v>
      </c>
    </row>
    <row r="162" spans="1:26" s="70" customFormat="1" ht="15" hidden="1" customHeight="1" outlineLevel="2" x14ac:dyDescent="0.3">
      <c r="A162" s="26"/>
      <c r="B162" s="12" t="str">
        <f>CONCATENATE("          ","6298"," - ","VEHICLE MILEAGE")</f>
        <v xml:space="preserve">          6298 - VEHICLE MILEAGE</v>
      </c>
      <c r="C162" s="12"/>
      <c r="D162" s="8">
        <v>212.66</v>
      </c>
      <c r="E162" s="3"/>
      <c r="F162" s="7">
        <f t="shared" si="28"/>
        <v>7.9180506112367562E-5</v>
      </c>
      <c r="G162" s="3"/>
      <c r="H162" s="8">
        <v>25</v>
      </c>
      <c r="I162" s="3"/>
      <c r="J162" s="7">
        <f t="shared" si="29"/>
        <v>1.0819485113686822E-5</v>
      </c>
      <c r="K162" s="3"/>
      <c r="L162" s="8">
        <f t="shared" si="30"/>
        <v>187.66</v>
      </c>
      <c r="M162" s="3"/>
      <c r="N162" s="7">
        <f t="shared" si="31"/>
        <v>7.5064000000000002</v>
      </c>
      <c r="O162" s="12"/>
      <c r="P162" s="8">
        <v>463.76</v>
      </c>
      <c r="Q162" s="3"/>
      <c r="R162" s="7">
        <f t="shared" si="32"/>
        <v>2.963988353824049E-5</v>
      </c>
      <c r="S162" s="3"/>
      <c r="T162" s="8">
        <v>450</v>
      </c>
      <c r="U162" s="3"/>
      <c r="V162" s="7">
        <f t="shared" si="33"/>
        <v>2.6728069158938344E-5</v>
      </c>
      <c r="W162" s="3"/>
      <c r="X162" s="8">
        <f t="shared" si="34"/>
        <v>13.759999999999991</v>
      </c>
      <c r="Y162" s="3"/>
      <c r="Z162" s="7">
        <f t="shared" si="35"/>
        <v>3.0577777777777759E-2</v>
      </c>
    </row>
    <row r="163" spans="1:26" s="69" customFormat="1" ht="15" customHeight="1" outlineLevel="1" collapsed="1" x14ac:dyDescent="0.3">
      <c r="A163" s="25"/>
      <c r="B163" s="14" t="str">
        <f>CONCATENATE("     ","Utilities                                         ")</f>
        <v xml:space="preserve">     Utilities                                         </v>
      </c>
      <c r="C163" s="14"/>
      <c r="D163" s="2">
        <f>SUM(OSRRefD22_26x_0)</f>
        <v>14605.65</v>
      </c>
      <c r="E163" s="2"/>
      <c r="F163" s="6">
        <f t="shared" si="28"/>
        <v>5.4381771800061192E-3</v>
      </c>
      <c r="G163" s="2"/>
      <c r="H163" s="2">
        <f>SUM(OSRRefH22_26x_0)</f>
        <v>17467</v>
      </c>
      <c r="I163" s="2"/>
      <c r="J163" s="6">
        <f t="shared" si="29"/>
        <v>7.5593578592307083E-3</v>
      </c>
      <c r="K163" s="2"/>
      <c r="L163" s="2">
        <f t="shared" si="30"/>
        <v>-2861.3500000000004</v>
      </c>
      <c r="M163" s="2"/>
      <c r="N163" s="6">
        <f t="shared" si="31"/>
        <v>-0.16381462185836151</v>
      </c>
      <c r="O163" s="14"/>
      <c r="P163" s="2">
        <f>SUM(OSRRefP22_26x_0)</f>
        <v>106495.07</v>
      </c>
      <c r="Q163" s="2"/>
      <c r="R163" s="6">
        <f t="shared" si="32"/>
        <v>6.8063254101189598E-3</v>
      </c>
      <c r="S163" s="2"/>
      <c r="T163" s="2">
        <f>SUM(OSRRefT22_26x_0)</f>
        <v>120976</v>
      </c>
      <c r="U163" s="2"/>
      <c r="V163" s="6">
        <f t="shared" si="33"/>
        <v>7.1854553212705001E-3</v>
      </c>
      <c r="W163" s="2"/>
      <c r="X163" s="2">
        <f t="shared" si="34"/>
        <v>-14480.929999999993</v>
      </c>
      <c r="Y163" s="2"/>
      <c r="Z163" s="6">
        <f t="shared" si="35"/>
        <v>-0.11970084975532332</v>
      </c>
    </row>
    <row r="164" spans="1:26" s="70" customFormat="1" ht="15" hidden="1" customHeight="1" outlineLevel="2" x14ac:dyDescent="0.3">
      <c r="A164" s="26"/>
      <c r="B164" s="12" t="str">
        <f>CONCATENATE("          ","6274"," - ","UTILITIES")</f>
        <v xml:space="preserve">          6274 - UTILITIES</v>
      </c>
      <c r="C164" s="12"/>
      <c r="D164" s="8">
        <v>14605.65</v>
      </c>
      <c r="E164" s="3"/>
      <c r="F164" s="7">
        <f t="shared" si="28"/>
        <v>5.4381771800061192E-3</v>
      </c>
      <c r="G164" s="3"/>
      <c r="H164" s="8">
        <v>17467</v>
      </c>
      <c r="I164" s="3"/>
      <c r="J164" s="7">
        <f t="shared" si="29"/>
        <v>7.5593578592307083E-3</v>
      </c>
      <c r="K164" s="3"/>
      <c r="L164" s="8">
        <f t="shared" si="30"/>
        <v>-2861.3500000000004</v>
      </c>
      <c r="M164" s="3"/>
      <c r="N164" s="7">
        <f t="shared" si="31"/>
        <v>-0.16381462185836151</v>
      </c>
      <c r="O164" s="12"/>
      <c r="P164" s="8">
        <v>106495.07</v>
      </c>
      <c r="Q164" s="3"/>
      <c r="R164" s="7">
        <f t="shared" si="32"/>
        <v>6.8063254101189598E-3</v>
      </c>
      <c r="S164" s="3"/>
      <c r="T164" s="8">
        <v>120976</v>
      </c>
      <c r="U164" s="3"/>
      <c r="V164" s="7">
        <f t="shared" si="33"/>
        <v>7.1854553212705001E-3</v>
      </c>
      <c r="W164" s="3"/>
      <c r="X164" s="8">
        <f t="shared" si="34"/>
        <v>-14480.929999999993</v>
      </c>
      <c r="Y164" s="3"/>
      <c r="Z164" s="7">
        <f t="shared" si="35"/>
        <v>-0.11970084975532332</v>
      </c>
    </row>
    <row r="165" spans="1:26" s="65" customFormat="1" ht="15" customHeight="1" x14ac:dyDescent="0.3">
      <c r="A165" s="35"/>
      <c r="B165" s="35"/>
      <c r="C165" s="35"/>
      <c r="D165" s="2"/>
      <c r="E165" s="2"/>
      <c r="F165" s="6"/>
      <c r="G165" s="2"/>
      <c r="H165" s="2"/>
      <c r="I165" s="2"/>
      <c r="J165" s="6"/>
      <c r="K165" s="2"/>
      <c r="L165" s="2"/>
      <c r="M165" s="2"/>
      <c r="N165" s="6"/>
      <c r="O165" s="35"/>
      <c r="P165" s="2"/>
      <c r="Q165" s="2"/>
      <c r="R165" s="6"/>
      <c r="S165" s="2"/>
      <c r="T165" s="2"/>
      <c r="U165" s="2"/>
      <c r="V165" s="6"/>
      <c r="W165" s="2"/>
      <c r="X165" s="2"/>
      <c r="Y165" s="2"/>
      <c r="Z165" s="6"/>
    </row>
    <row r="166" spans="1:26" s="63" customFormat="1" ht="15" customHeight="1" collapsed="1" x14ac:dyDescent="0.3">
      <c r="A166" s="11"/>
      <c r="B166" s="27" t="s">
        <v>291</v>
      </c>
      <c r="C166" s="11"/>
      <c r="D166" s="5">
        <f>SUM(OSRRefD25x_0)</f>
        <v>216629.77</v>
      </c>
      <c r="E166" s="5"/>
      <c r="F166" s="13">
        <f t="shared" ref="F166:F174" si="36">IF(D$12=0,0,D166/D$12)</f>
        <v>8.0658585665408539E-2</v>
      </c>
      <c r="G166" s="5"/>
      <c r="H166" s="5">
        <f>SUM(OSRRefH25x_0)</f>
        <v>253055.12</v>
      </c>
      <c r="I166" s="5"/>
      <c r="J166" s="13">
        <f t="shared" ref="J166:J174" si="37">IF(H$12=0,0,H166/H$12)</f>
        <v>0.10951704415128929</v>
      </c>
      <c r="K166" s="5"/>
      <c r="L166" s="5">
        <f t="shared" ref="L166:L174" si="38">+D166-H166</f>
        <v>-36425.350000000006</v>
      </c>
      <c r="M166" s="5"/>
      <c r="N166" s="13">
        <f t="shared" ref="N166:N174" si="39">IF(H166=0,0,L166/H166)</f>
        <v>-0.14394235532559074</v>
      </c>
      <c r="O166" s="11"/>
      <c r="P166" s="5">
        <f>SUM(OSRRefP25x_0)</f>
        <v>883749.33</v>
      </c>
      <c r="Q166" s="5"/>
      <c r="R166" s="13">
        <f t="shared" ref="R166:R174" si="40">IF(P$12=0,0,P166/P$12)</f>
        <v>5.6482290879329961E-2</v>
      </c>
      <c r="S166" s="5"/>
      <c r="T166" s="5">
        <f>SUM(OSRRefT25x_0)</f>
        <v>759925.53999999992</v>
      </c>
      <c r="U166" s="5"/>
      <c r="V166" s="13">
        <f t="shared" ref="V166:V174" si="41">IF(T$12=0,0,T166/T$12)</f>
        <v>4.513631641947459E-2</v>
      </c>
      <c r="W166" s="5"/>
      <c r="X166" s="5">
        <f t="shared" ref="X166:X174" si="42">+P166-T166</f>
        <v>123823.79000000004</v>
      </c>
      <c r="Y166" s="5"/>
      <c r="Z166" s="13">
        <f t="shared" ref="Z166:Z174" si="43">IF(T166=0,0,X166/T166)</f>
        <v>0.16294200350208002</v>
      </c>
    </row>
    <row r="167" spans="1:26" s="70" customFormat="1" ht="15" hidden="1" customHeight="1" outlineLevel="1" x14ac:dyDescent="0.3">
      <c r="A167" s="42"/>
      <c r="B167" s="12" t="str">
        <f>CONCATENATE("          ","4187"," - ","NON-TAXABLE SALES-COMPUTER REP")</f>
        <v xml:space="preserve">          4187 - NON-TAXABLE SALES-COMPUTER REP</v>
      </c>
      <c r="C167" s="12"/>
      <c r="D167" s="3">
        <f>0</f>
        <v>0</v>
      </c>
      <c r="E167" s="3"/>
      <c r="F167" s="20">
        <f t="shared" si="36"/>
        <v>0</v>
      </c>
      <c r="G167" s="3"/>
      <c r="H167" s="3"/>
      <c r="I167" s="3"/>
      <c r="J167" s="20">
        <f t="shared" si="37"/>
        <v>0</v>
      </c>
      <c r="K167" s="3"/>
      <c r="L167" s="3">
        <f t="shared" si="38"/>
        <v>0</v>
      </c>
      <c r="M167" s="3"/>
      <c r="N167" s="20">
        <f t="shared" si="39"/>
        <v>0</v>
      </c>
      <c r="O167" s="12"/>
      <c r="P167" s="3">
        <f>0</f>
        <v>0</v>
      </c>
      <c r="Q167" s="3"/>
      <c r="R167" s="20">
        <f t="shared" si="40"/>
        <v>0</v>
      </c>
      <c r="S167" s="3"/>
      <c r="T167" s="3"/>
      <c r="U167" s="3"/>
      <c r="V167" s="20">
        <f t="shared" si="41"/>
        <v>0</v>
      </c>
      <c r="W167" s="3"/>
      <c r="X167" s="3">
        <f t="shared" si="42"/>
        <v>0</v>
      </c>
      <c r="Y167" s="3"/>
      <c r="Z167" s="20">
        <f t="shared" si="43"/>
        <v>0</v>
      </c>
    </row>
    <row r="168" spans="1:26" s="70" customFormat="1" ht="15" hidden="1" customHeight="1" outlineLevel="1" x14ac:dyDescent="0.3">
      <c r="A168" s="42"/>
      <c r="B168" s="12" t="str">
        <f>CONCATENATE("          ","9087"," - ","")</f>
        <v xml:space="preserve">          9087 - </v>
      </c>
      <c r="C168" s="12"/>
      <c r="D168" s="3">
        <f>--576.08</f>
        <v>576.08000000000004</v>
      </c>
      <c r="E168" s="3"/>
      <c r="F168" s="20">
        <f t="shared" si="36"/>
        <v>2.1449405605761644E-4</v>
      </c>
      <c r="G168" s="3"/>
      <c r="H168" s="3"/>
      <c r="I168" s="3"/>
      <c r="J168" s="20">
        <f t="shared" si="37"/>
        <v>0</v>
      </c>
      <c r="K168" s="3"/>
      <c r="L168" s="3">
        <f t="shared" si="38"/>
        <v>576.08000000000004</v>
      </c>
      <c r="M168" s="3"/>
      <c r="N168" s="20">
        <f t="shared" si="39"/>
        <v>0</v>
      </c>
      <c r="O168" s="12"/>
      <c r="P168" s="3">
        <f>--2207.09</f>
        <v>2207.09</v>
      </c>
      <c r="Q168" s="3"/>
      <c r="R168" s="20">
        <f t="shared" si="40"/>
        <v>1.4105979506299639E-4</v>
      </c>
      <c r="S168" s="3"/>
      <c r="T168" s="3"/>
      <c r="U168" s="3"/>
      <c r="V168" s="20">
        <f t="shared" si="41"/>
        <v>0</v>
      </c>
      <c r="W168" s="3"/>
      <c r="X168" s="3">
        <f t="shared" si="42"/>
        <v>2207.09</v>
      </c>
      <c r="Y168" s="3"/>
      <c r="Z168" s="20">
        <f t="shared" si="43"/>
        <v>0</v>
      </c>
    </row>
    <row r="169" spans="1:26" s="70" customFormat="1" ht="15" hidden="1" customHeight="1" outlineLevel="1" x14ac:dyDescent="0.3">
      <c r="A169" s="42"/>
      <c r="B169" s="12" t="str">
        <f>CONCATENATE("          ","9150"," - ","MISC. INCOME")</f>
        <v xml:space="preserve">          9150 - MISC. INCOME</v>
      </c>
      <c r="C169" s="12"/>
      <c r="D169" s="3">
        <f>--63340.01</f>
        <v>63340.01</v>
      </c>
      <c r="E169" s="3"/>
      <c r="F169" s="20">
        <f t="shared" si="36"/>
        <v>2.3583626676208141E-2</v>
      </c>
      <c r="G169" s="3"/>
      <c r="H169" s="3">
        <v>9084</v>
      </c>
      <c r="I169" s="3"/>
      <c r="J169" s="20">
        <f t="shared" si="37"/>
        <v>3.9313681109092438E-3</v>
      </c>
      <c r="K169" s="3"/>
      <c r="L169" s="3">
        <f t="shared" si="38"/>
        <v>54256.01</v>
      </c>
      <c r="M169" s="3"/>
      <c r="N169" s="20">
        <f t="shared" si="39"/>
        <v>5.972700352267724</v>
      </c>
      <c r="O169" s="12"/>
      <c r="P169" s="3">
        <f>--474137.21</f>
        <v>474137.21</v>
      </c>
      <c r="Q169" s="3"/>
      <c r="R169" s="20">
        <f t="shared" si="40"/>
        <v>3.030311300143668E-2</v>
      </c>
      <c r="S169" s="3"/>
      <c r="T169" s="3">
        <v>161357</v>
      </c>
      <c r="U169" s="3"/>
      <c r="V169" s="20">
        <f t="shared" si="41"/>
        <v>9.583913456175144E-3</v>
      </c>
      <c r="W169" s="3"/>
      <c r="X169" s="3">
        <f t="shared" si="42"/>
        <v>312780.21000000002</v>
      </c>
      <c r="Y169" s="3"/>
      <c r="Z169" s="20">
        <f t="shared" si="43"/>
        <v>1.9384359525772048</v>
      </c>
    </row>
    <row r="170" spans="1:26" s="70" customFormat="1" ht="15" hidden="1" customHeight="1" outlineLevel="1" x14ac:dyDescent="0.3">
      <c r="A170" s="42"/>
      <c r="B170" s="12" t="str">
        <f>CONCATENATE("          ","9151"," - ","MISC. INCOME")</f>
        <v xml:space="preserve">          9151 - MISC. INCOME</v>
      </c>
      <c r="C170" s="12"/>
      <c r="D170" s="3">
        <f>--152339.59</f>
        <v>152339.59</v>
      </c>
      <c r="E170" s="3"/>
      <c r="F170" s="20">
        <f t="shared" si="36"/>
        <v>5.6721178581541284E-2</v>
      </c>
      <c r="G170" s="3"/>
      <c r="H170" s="3">
        <v>223456.62</v>
      </c>
      <c r="I170" s="3"/>
      <c r="J170" s="20">
        <f t="shared" si="37"/>
        <v>9.6707422945790919E-2</v>
      </c>
      <c r="K170" s="3"/>
      <c r="L170" s="3">
        <f t="shared" si="38"/>
        <v>-71117.03</v>
      </c>
      <c r="M170" s="3"/>
      <c r="N170" s="20">
        <f t="shared" si="39"/>
        <v>-0.31825877434286798</v>
      </c>
      <c r="O170" s="12"/>
      <c r="P170" s="3">
        <f>--323761.7</f>
        <v>323761.7</v>
      </c>
      <c r="Q170" s="3"/>
      <c r="R170" s="20">
        <f t="shared" si="40"/>
        <v>2.0692295761046139E-2</v>
      </c>
      <c r="S170" s="3"/>
      <c r="T170" s="3">
        <v>489754.45</v>
      </c>
      <c r="U170" s="3"/>
      <c r="V170" s="20">
        <f t="shared" si="41"/>
        <v>2.908931291221736E-2</v>
      </c>
      <c r="W170" s="3"/>
      <c r="X170" s="3">
        <f t="shared" si="42"/>
        <v>-165992.75</v>
      </c>
      <c r="Y170" s="3"/>
      <c r="Z170" s="20">
        <f t="shared" si="43"/>
        <v>-0.3389305599979745</v>
      </c>
    </row>
    <row r="171" spans="1:26" s="70" customFormat="1" ht="15" hidden="1" customHeight="1" outlineLevel="1" x14ac:dyDescent="0.3">
      <c r="A171" s="42"/>
      <c r="B171" s="12" t="str">
        <f>CONCATENATE("          ","9152"," - ","MISC. INCOME")</f>
        <v xml:space="preserve">          9152 - MISC. INCOME</v>
      </c>
      <c r="C171" s="12"/>
      <c r="D171" s="3">
        <f>--374.09</f>
        <v>374.09</v>
      </c>
      <c r="E171" s="3"/>
      <c r="F171" s="20">
        <f t="shared" si="36"/>
        <v>1.3928635160150279E-4</v>
      </c>
      <c r="G171" s="3"/>
      <c r="H171" s="3"/>
      <c r="I171" s="3"/>
      <c r="J171" s="20">
        <f t="shared" si="37"/>
        <v>0</v>
      </c>
      <c r="K171" s="3"/>
      <c r="L171" s="3">
        <f t="shared" si="38"/>
        <v>374.09</v>
      </c>
      <c r="M171" s="3"/>
      <c r="N171" s="20">
        <f t="shared" si="39"/>
        <v>0</v>
      </c>
      <c r="O171" s="12"/>
      <c r="P171" s="3">
        <f>--3867.63</f>
        <v>3867.63</v>
      </c>
      <c r="Q171" s="3"/>
      <c r="R171" s="20">
        <f t="shared" si="40"/>
        <v>2.4718842239305908E-4</v>
      </c>
      <c r="S171" s="3"/>
      <c r="T171" s="3"/>
      <c r="U171" s="3"/>
      <c r="V171" s="20">
        <f t="shared" si="41"/>
        <v>0</v>
      </c>
      <c r="W171" s="3"/>
      <c r="X171" s="3">
        <f t="shared" si="42"/>
        <v>3867.63</v>
      </c>
      <c r="Y171" s="3"/>
      <c r="Z171" s="20">
        <f t="shared" si="43"/>
        <v>0</v>
      </c>
    </row>
    <row r="172" spans="1:26" s="70" customFormat="1" ht="15" hidden="1" customHeight="1" outlineLevel="1" x14ac:dyDescent="0.3">
      <c r="A172" s="42"/>
      <c r="B172" s="12" t="str">
        <f>CONCATENATE("          ","9160"," - ","MISC. INCOME")</f>
        <v xml:space="preserve">          9160 - MISC. INCOME</v>
      </c>
      <c r="C172" s="12"/>
      <c r="D172" s="3">
        <f>0</f>
        <v>0</v>
      </c>
      <c r="E172" s="3"/>
      <c r="F172" s="20">
        <f t="shared" si="36"/>
        <v>0</v>
      </c>
      <c r="G172" s="3"/>
      <c r="H172" s="3">
        <v>20514.5</v>
      </c>
      <c r="I172" s="3"/>
      <c r="J172" s="20">
        <f t="shared" si="37"/>
        <v>8.8782530945891325E-3</v>
      </c>
      <c r="K172" s="3"/>
      <c r="L172" s="3">
        <f t="shared" si="38"/>
        <v>-20514.5</v>
      </c>
      <c r="M172" s="3"/>
      <c r="N172" s="20">
        <f t="shared" si="39"/>
        <v>-1</v>
      </c>
      <c r="O172" s="12"/>
      <c r="P172" s="3">
        <f>0</f>
        <v>0</v>
      </c>
      <c r="Q172" s="3"/>
      <c r="R172" s="20">
        <f t="shared" si="40"/>
        <v>0</v>
      </c>
      <c r="S172" s="3"/>
      <c r="T172" s="3">
        <v>108814.09</v>
      </c>
      <c r="U172" s="3"/>
      <c r="V172" s="20">
        <f t="shared" si="41"/>
        <v>6.463090051082092E-3</v>
      </c>
      <c r="W172" s="3"/>
      <c r="X172" s="3">
        <f t="shared" si="42"/>
        <v>-108814.09</v>
      </c>
      <c r="Y172" s="3"/>
      <c r="Z172" s="20">
        <f t="shared" si="43"/>
        <v>-1</v>
      </c>
    </row>
    <row r="173" spans="1:26" s="70" customFormat="1" ht="15" hidden="1" customHeight="1" outlineLevel="1" x14ac:dyDescent="0.3">
      <c r="A173" s="42"/>
      <c r="B173" s="12" t="str">
        <f>CONCATENATE("          ","9163"," - ","MISC. INCOME")</f>
        <v xml:space="preserve">          9163 - MISC. INCOME</v>
      </c>
      <c r="C173" s="12"/>
      <c r="D173" s="3">
        <f>0</f>
        <v>0</v>
      </c>
      <c r="E173" s="3"/>
      <c r="F173" s="20">
        <f t="shared" si="36"/>
        <v>0</v>
      </c>
      <c r="G173" s="3"/>
      <c r="H173" s="3"/>
      <c r="I173" s="3"/>
      <c r="J173" s="20">
        <f t="shared" si="37"/>
        <v>0</v>
      </c>
      <c r="K173" s="3"/>
      <c r="L173" s="3">
        <f t="shared" si="38"/>
        <v>0</v>
      </c>
      <c r="M173" s="3"/>
      <c r="N173" s="20">
        <f t="shared" si="39"/>
        <v>0</v>
      </c>
      <c r="O173" s="12"/>
      <c r="P173" s="3">
        <f>--79775.7</f>
        <v>79775.7</v>
      </c>
      <c r="Q173" s="3"/>
      <c r="R173" s="20">
        <f t="shared" si="40"/>
        <v>5.0986338993910902E-3</v>
      </c>
      <c r="S173" s="3"/>
      <c r="T173" s="3"/>
      <c r="U173" s="3"/>
      <c r="V173" s="20">
        <f t="shared" si="41"/>
        <v>0</v>
      </c>
      <c r="W173" s="3"/>
      <c r="X173" s="3">
        <f t="shared" si="42"/>
        <v>79775.7</v>
      </c>
      <c r="Y173" s="3"/>
      <c r="Z173" s="20">
        <f t="shared" si="43"/>
        <v>0</v>
      </c>
    </row>
    <row r="174" spans="1:26" s="70" customFormat="1" ht="15" hidden="1" customHeight="1" outlineLevel="1" x14ac:dyDescent="0.3">
      <c r="A174" s="42"/>
      <c r="B174" s="12" t="str">
        <f>CONCATENATE("          ","9165"," - ","OTHER INCOME")</f>
        <v xml:space="preserve">          9165 - OTHER INCOME</v>
      </c>
      <c r="C174" s="12"/>
      <c r="D174" s="3">
        <f>0</f>
        <v>0</v>
      </c>
      <c r="E174" s="3"/>
      <c r="F174" s="20">
        <f t="shared" si="36"/>
        <v>0</v>
      </c>
      <c r="G174" s="3"/>
      <c r="H174" s="3"/>
      <c r="I174" s="3"/>
      <c r="J174" s="20">
        <f t="shared" si="37"/>
        <v>0</v>
      </c>
      <c r="K174" s="3"/>
      <c r="L174" s="3">
        <f t="shared" si="38"/>
        <v>0</v>
      </c>
      <c r="M174" s="3"/>
      <c r="N174" s="20">
        <f t="shared" si="39"/>
        <v>0</v>
      </c>
      <c r="O174" s="12"/>
      <c r="P174" s="3">
        <f>0</f>
        <v>0</v>
      </c>
      <c r="Q174" s="3"/>
      <c r="R174" s="20">
        <f t="shared" si="40"/>
        <v>0</v>
      </c>
      <c r="S174" s="3"/>
      <c r="T174" s="3"/>
      <c r="U174" s="3"/>
      <c r="V174" s="20">
        <f t="shared" si="41"/>
        <v>0</v>
      </c>
      <c r="W174" s="3"/>
      <c r="X174" s="3">
        <f t="shared" si="42"/>
        <v>0</v>
      </c>
      <c r="Y174" s="3"/>
      <c r="Z174" s="20">
        <f t="shared" si="43"/>
        <v>0</v>
      </c>
    </row>
    <row r="175" spans="1:26" ht="15" customHeight="1" x14ac:dyDescent="0.3">
      <c r="A175" s="10"/>
      <c r="B175" s="11"/>
      <c r="C175" s="11"/>
      <c r="D175" s="4"/>
      <c r="E175" s="4"/>
      <c r="F175" s="9"/>
      <c r="G175" s="4"/>
      <c r="H175" s="4"/>
      <c r="I175" s="4"/>
      <c r="J175" s="9"/>
      <c r="K175" s="4"/>
      <c r="L175" s="4"/>
      <c r="M175" s="4"/>
      <c r="N175" s="9"/>
      <c r="O175" s="11"/>
      <c r="P175" s="4"/>
      <c r="Q175" s="4"/>
      <c r="R175" s="9"/>
      <c r="S175" s="4"/>
      <c r="T175" s="4"/>
      <c r="U175" s="4"/>
      <c r="V175" s="9"/>
      <c r="W175" s="4"/>
      <c r="X175" s="4"/>
      <c r="Y175" s="4"/>
      <c r="Z175" s="9"/>
    </row>
    <row r="176" spans="1:26" s="63" customFormat="1" ht="15" customHeight="1" x14ac:dyDescent="0.3">
      <c r="A176" s="11"/>
      <c r="B176" s="28" t="s">
        <v>292</v>
      </c>
      <c r="C176" s="28"/>
      <c r="D176" s="21">
        <f>+D62-D64+D166</f>
        <v>777304.8900000006</v>
      </c>
      <c r="E176" s="15"/>
      <c r="F176" s="22">
        <f>IF(D$12=0,0,D176/D$12)</f>
        <v>0.28941688419927702</v>
      </c>
      <c r="G176" s="15"/>
      <c r="H176" s="21">
        <f>+H62-H64+H166</f>
        <v>502492.8846576208</v>
      </c>
      <c r="I176" s="15"/>
      <c r="J176" s="22">
        <f>IF(H$12=0,0,H176/H$12)</f>
        <v>0.21746857141146711</v>
      </c>
      <c r="K176" s="16"/>
      <c r="L176" s="21">
        <f>+D176-H176</f>
        <v>274812.00534237979</v>
      </c>
      <c r="M176" s="16"/>
      <c r="N176" s="22">
        <f>IF(H176=0,0,L176/H176)</f>
        <v>0.54689730687356108</v>
      </c>
      <c r="O176" s="27"/>
      <c r="P176" s="21">
        <f>+P62-P64+P166</f>
        <v>1837111.7399999984</v>
      </c>
      <c r="Q176" s="15"/>
      <c r="R176" s="22">
        <f>IF(P$12=0,0,P176/P$12)</f>
        <v>0.11741370109611501</v>
      </c>
      <c r="S176" s="15"/>
      <c r="T176" s="21">
        <f>+T62-T64+T166</f>
        <v>242957.39863546833</v>
      </c>
      <c r="U176" s="15"/>
      <c r="V176" s="22">
        <f>IF(T$12=0,0,T176/T$12)</f>
        <v>1.4430627007565667E-2</v>
      </c>
      <c r="W176" s="16"/>
      <c r="X176" s="21">
        <f>+P176-T176</f>
        <v>1594154.3413645299</v>
      </c>
      <c r="Y176" s="16"/>
      <c r="Z176" s="22">
        <f>IF(T176=0,0,X176/T176)</f>
        <v>6.561456248370475</v>
      </c>
    </row>
    <row r="177" spans="1:26" ht="15" customHeight="1" x14ac:dyDescent="0.3">
      <c r="A177" s="10"/>
      <c r="B177" s="11"/>
      <c r="C177" s="10"/>
      <c r="D177" s="4"/>
      <c r="E177" s="4"/>
      <c r="F177" s="9"/>
      <c r="G177" s="4"/>
      <c r="H177" s="4"/>
      <c r="I177" s="4"/>
      <c r="J177" s="9"/>
      <c r="K177" s="4"/>
      <c r="L177" s="4"/>
      <c r="M177" s="4"/>
      <c r="N177" s="9"/>
      <c r="P177" s="4"/>
      <c r="Q177" s="4"/>
      <c r="R177" s="9"/>
      <c r="S177" s="4"/>
      <c r="T177" s="4"/>
      <c r="U177" s="4"/>
      <c r="V177" s="9"/>
      <c r="W177" s="4"/>
      <c r="X177" s="4"/>
      <c r="Y177" s="4"/>
      <c r="Z177" s="9"/>
    </row>
    <row r="178" spans="1:26" s="63" customFormat="1" ht="15" customHeight="1" x14ac:dyDescent="0.3">
      <c r="A178" s="49"/>
      <c r="B178" s="11" t="s">
        <v>293</v>
      </c>
      <c r="C178" s="11"/>
      <c r="D178" s="5">
        <v>237459.55</v>
      </c>
      <c r="E178" s="5"/>
      <c r="F178" s="13">
        <f>IF(D$12=0,0,D178/D$12)</f>
        <v>8.8414216825990086E-2</v>
      </c>
      <c r="G178" s="5"/>
      <c r="H178" s="5">
        <v>238186</v>
      </c>
      <c r="I178" s="5"/>
      <c r="J178" s="13">
        <f>IF(H$12=0,0,H178/H$12)</f>
        <v>0.10308199525154438</v>
      </c>
      <c r="K178" s="5"/>
      <c r="L178" s="5">
        <f>+D178-H178</f>
        <v>-726.45000000001164</v>
      </c>
      <c r="M178" s="5"/>
      <c r="N178" s="13">
        <f>IF(H178=0,0,L178/H178)</f>
        <v>-3.0499273676874864E-3</v>
      </c>
      <c r="O178" s="11"/>
      <c r="P178" s="5">
        <v>1953036.6</v>
      </c>
      <c r="Q178" s="5"/>
      <c r="R178" s="13">
        <f>IF(P$12=0,0,P178/P$12)</f>
        <v>0.1248227043512187</v>
      </c>
      <c r="S178" s="5"/>
      <c r="T178" s="5">
        <v>2058191</v>
      </c>
      <c r="U178" s="5"/>
      <c r="V178" s="13">
        <f>IF(T$12=0,0,T178/T$12)</f>
        <v>0.12224771420067659</v>
      </c>
      <c r="W178" s="5"/>
      <c r="X178" s="5">
        <f>+P178-T178</f>
        <v>-105154.39999999991</v>
      </c>
      <c r="Y178" s="5"/>
      <c r="Z178" s="13">
        <f>IF(T178=0,0,X178/T178)</f>
        <v>-5.1090690805663766E-2</v>
      </c>
    </row>
    <row r="179" spans="1:26" ht="15" customHeight="1" x14ac:dyDescent="0.3">
      <c r="A179" s="10"/>
      <c r="B179" s="11"/>
      <c r="C179" s="11"/>
      <c r="D179" s="4"/>
      <c r="E179" s="4"/>
      <c r="F179" s="9"/>
      <c r="G179" s="4"/>
      <c r="H179" s="4"/>
      <c r="I179" s="4"/>
      <c r="J179" s="9"/>
      <c r="K179" s="4"/>
      <c r="L179" s="4"/>
      <c r="M179" s="4"/>
      <c r="N179" s="9"/>
      <c r="O179" s="11"/>
      <c r="P179" s="4"/>
      <c r="Q179" s="4"/>
      <c r="R179" s="9"/>
      <c r="S179" s="4"/>
      <c r="T179" s="4"/>
      <c r="U179" s="4"/>
      <c r="V179" s="9"/>
      <c r="W179" s="4"/>
      <c r="X179" s="4"/>
      <c r="Y179" s="4"/>
      <c r="Z179" s="9"/>
    </row>
    <row r="180" spans="1:26" s="63" customFormat="1" ht="15" customHeight="1" x14ac:dyDescent="0.3">
      <c r="A180" s="11"/>
      <c r="B180" s="28" t="s">
        <v>294</v>
      </c>
      <c r="C180" s="28"/>
      <c r="D180" s="33">
        <f>+D176-D178</f>
        <v>539845.34000000055</v>
      </c>
      <c r="E180" s="15"/>
      <c r="F180" s="32">
        <f>IF(D$12=0,0,D180/D$12)</f>
        <v>0.2010026673732869</v>
      </c>
      <c r="G180" s="15"/>
      <c r="H180" s="33">
        <f>+H176-H178</f>
        <v>264306.8846576208</v>
      </c>
      <c r="I180" s="15"/>
      <c r="J180" s="32">
        <f>IF(H$12=0,0,H180/H$12)</f>
        <v>0.11438657615992272</v>
      </c>
      <c r="K180" s="16"/>
      <c r="L180" s="33">
        <f>D180-H180</f>
        <v>275538.45534237975</v>
      </c>
      <c r="M180" s="16"/>
      <c r="N180" s="32">
        <f>IF(H180=0,0,L180/H180)</f>
        <v>1.042494431044837</v>
      </c>
      <c r="O180" s="27"/>
      <c r="P180" s="33">
        <f>+P176-P178</f>
        <v>-115924.86000000173</v>
      </c>
      <c r="Q180" s="15"/>
      <c r="R180" s="32">
        <f>IF(P$12=0,0,P180/P$12)</f>
        <v>-7.4090032551036846E-3</v>
      </c>
      <c r="S180" s="15"/>
      <c r="T180" s="33">
        <f>+T176-T178</f>
        <v>-1815233.6013645316</v>
      </c>
      <c r="U180" s="15"/>
      <c r="V180" s="32">
        <f>IF(T$12=0,0,T180/T$12)</f>
        <v>-0.10781708719311092</v>
      </c>
      <c r="W180" s="16"/>
      <c r="X180" s="33">
        <f>P180-T180</f>
        <v>1699308.7413645298</v>
      </c>
      <c r="Y180" s="16"/>
      <c r="Z180" s="32">
        <f>IF(T180=0,0,X180/T180)</f>
        <v>-0.93613777316987756</v>
      </c>
    </row>
    <row r="181" spans="1:26" ht="15" customHeight="1" x14ac:dyDescent="0.3">
      <c r="A181" s="10"/>
      <c r="B181" s="10"/>
      <c r="C181" s="10"/>
      <c r="D181" s="4"/>
      <c r="E181" s="4"/>
      <c r="F181" s="9"/>
      <c r="G181" s="4"/>
      <c r="H181" s="4"/>
      <c r="I181" s="4"/>
      <c r="J181" s="9"/>
      <c r="K181" s="4"/>
      <c r="L181" s="4"/>
      <c r="M181" s="4"/>
      <c r="N181" s="9"/>
      <c r="P181" s="4"/>
      <c r="Q181" s="4"/>
      <c r="R181" s="9"/>
      <c r="S181" s="4"/>
      <c r="T181" s="4"/>
      <c r="U181" s="4"/>
      <c r="V181" s="9"/>
      <c r="W181" s="4"/>
      <c r="X181" s="4"/>
      <c r="Y181" s="4"/>
      <c r="Z181" s="9"/>
    </row>
    <row r="182" spans="1:26" s="63" customFormat="1" ht="15" customHeight="1" x14ac:dyDescent="0.3">
      <c r="A182" s="49"/>
      <c r="B182" s="11" t="s">
        <v>295</v>
      </c>
      <c r="C182" s="11"/>
      <c r="D182" s="5">
        <f>-302139.84</f>
        <v>-302139.84000000003</v>
      </c>
      <c r="E182" s="5"/>
      <c r="F182" s="13">
        <f>IF(D$12=0,0,D182/D$12)</f>
        <v>-0.11249687504895026</v>
      </c>
      <c r="G182" s="5"/>
      <c r="H182" s="5">
        <f>--15000</f>
        <v>15000</v>
      </c>
      <c r="I182" s="5"/>
      <c r="J182" s="13">
        <f>IF(H$12=0,0,H182/H$12)</f>
        <v>6.491691068212093E-3</v>
      </c>
      <c r="K182" s="5"/>
      <c r="L182" s="5">
        <f>+D182-H182</f>
        <v>-317139.84000000003</v>
      </c>
      <c r="M182" s="5"/>
      <c r="N182" s="13">
        <f>IF(H182=0,0,L182/H182)</f>
        <v>-21.142656000000002</v>
      </c>
      <c r="O182" s="11"/>
      <c r="P182" s="5">
        <f>-916333.72</f>
        <v>-916333.72</v>
      </c>
      <c r="Q182" s="5"/>
      <c r="R182" s="13">
        <f>IF(P$12=0,0,P182/P$12)</f>
        <v>-5.8564828236507396E-2</v>
      </c>
      <c r="S182" s="5"/>
      <c r="T182" s="5">
        <f>--120000</f>
        <v>120000</v>
      </c>
      <c r="U182" s="5"/>
      <c r="V182" s="13">
        <f>IF(T$12=0,0,T182/T$12)</f>
        <v>7.1274851090502248E-3</v>
      </c>
      <c r="W182" s="5"/>
      <c r="X182" s="5">
        <f>+P182-T182</f>
        <v>-1036333.72</v>
      </c>
      <c r="Y182" s="5"/>
      <c r="Z182" s="13">
        <f>IF(T182=0,0,X182/T182)</f>
        <v>-8.6361143333333334</v>
      </c>
    </row>
    <row r="183" spans="1:26" s="63" customFormat="1" ht="15" customHeight="1" x14ac:dyDescent="0.3">
      <c r="A183" s="49"/>
      <c r="B183" s="11" t="s">
        <v>296</v>
      </c>
      <c r="C183" s="11"/>
      <c r="D183" s="5">
        <f>--9329.2</f>
        <v>9329.2000000000007</v>
      </c>
      <c r="E183" s="5"/>
      <c r="F183" s="13">
        <f>IF(D$12=0,0,D183/D$12)</f>
        <v>3.4735764959254187E-3</v>
      </c>
      <c r="G183" s="5"/>
      <c r="H183" s="5">
        <f>--15000</f>
        <v>15000</v>
      </c>
      <c r="I183" s="5"/>
      <c r="J183" s="13">
        <f>IF(H$12=0,0,H183/H$12)</f>
        <v>6.491691068212093E-3</v>
      </c>
      <c r="K183" s="5"/>
      <c r="L183" s="5">
        <f>+D183-H183</f>
        <v>-5670.7999999999993</v>
      </c>
      <c r="M183" s="5"/>
      <c r="N183" s="13">
        <f>IF(H183=0,0,L183/H183)</f>
        <v>-0.3780533333333333</v>
      </c>
      <c r="O183" s="11"/>
      <c r="P183" s="5">
        <f>--2318939.64</f>
        <v>2318939.64</v>
      </c>
      <c r="Q183" s="5"/>
      <c r="R183" s="13">
        <f>IF(P$12=0,0,P183/P$12)</f>
        <v>0.14820834237926803</v>
      </c>
      <c r="S183" s="5"/>
      <c r="T183" s="5">
        <f>--130000</f>
        <v>130000</v>
      </c>
      <c r="U183" s="5"/>
      <c r="V183" s="13">
        <f>IF(T$12=0,0,T183/T$12)</f>
        <v>7.721442201471077E-3</v>
      </c>
      <c r="W183" s="5"/>
      <c r="X183" s="5">
        <f>+P183-T183</f>
        <v>2188939.64</v>
      </c>
      <c r="Y183" s="5"/>
      <c r="Z183" s="13">
        <f>IF(T183=0,0,X183/T183)</f>
        <v>16.837997230769233</v>
      </c>
    </row>
    <row r="184" spans="1:26" ht="15" customHeight="1" x14ac:dyDescent="0.3">
      <c r="A184" s="10"/>
      <c r="B184" s="10"/>
      <c r="C184" s="10"/>
      <c r="D184" s="4"/>
      <c r="E184" s="4"/>
      <c r="F184" s="9"/>
      <c r="G184" s="4"/>
      <c r="H184" s="4"/>
      <c r="I184" s="4"/>
      <c r="J184" s="9"/>
      <c r="K184" s="4"/>
      <c r="L184" s="4"/>
      <c r="M184" s="4"/>
      <c r="N184" s="9"/>
      <c r="P184" s="4"/>
      <c r="Q184" s="4"/>
      <c r="R184" s="9"/>
      <c r="S184" s="4"/>
      <c r="T184" s="4"/>
      <c r="U184" s="4"/>
      <c r="V184" s="9"/>
      <c r="W184" s="4"/>
      <c r="X184" s="4"/>
      <c r="Y184" s="4"/>
      <c r="Z184" s="9"/>
    </row>
    <row r="185" spans="1:26" s="63" customFormat="1" ht="15" customHeight="1" x14ac:dyDescent="0.3">
      <c r="A185" s="11"/>
      <c r="B185" s="28" t="s">
        <v>297</v>
      </c>
      <c r="C185" s="28"/>
      <c r="D185" s="34">
        <f>SUM(D180:D184)</f>
        <v>247034.70000000054</v>
      </c>
      <c r="E185" s="15"/>
      <c r="F185" s="30">
        <f>IF(D$12=0,0,D185/D$12)</f>
        <v>9.1979368820262072E-2</v>
      </c>
      <c r="G185" s="15"/>
      <c r="H185" s="34">
        <f>SUM(H180:H184)</f>
        <v>294306.8846576208</v>
      </c>
      <c r="I185" s="15"/>
      <c r="J185" s="30">
        <f>IF(H$12=0,0,H185/H$12)</f>
        <v>0.1273699582963469</v>
      </c>
      <c r="K185" s="16"/>
      <c r="L185" s="34">
        <f>+D185-H185</f>
        <v>-47272.184657620266</v>
      </c>
      <c r="M185" s="16"/>
      <c r="N185" s="30">
        <f>IF(H185=0,0,L185/H185)</f>
        <v>-0.1606220823295178</v>
      </c>
      <c r="O185" s="27"/>
      <c r="P185" s="34">
        <f>SUM(P180:P184)</f>
        <v>1286681.0599999984</v>
      </c>
      <c r="Q185" s="15"/>
      <c r="R185" s="30">
        <f>IF(P$12=0,0,P185/P$12)</f>
        <v>8.2234510887656931E-2</v>
      </c>
      <c r="S185" s="15"/>
      <c r="T185" s="34">
        <f>SUM(T180:T184)</f>
        <v>-1565233.6013645316</v>
      </c>
      <c r="U185" s="15"/>
      <c r="V185" s="30">
        <f>IF(T$12=0,0,T185/T$12)</f>
        <v>-9.2968159882589621E-2</v>
      </c>
      <c r="W185" s="16"/>
      <c r="X185" s="34">
        <f>+P185-T185</f>
        <v>2851914.6613645302</v>
      </c>
      <c r="Y185" s="16"/>
      <c r="Z185" s="30">
        <f>IF(T185=0,0,X185/T185)</f>
        <v>-1.8220377194038655</v>
      </c>
    </row>
    <row r="186" spans="1:26" ht="15" customHeight="1" x14ac:dyDescent="0.3">
      <c r="A186" s="10"/>
      <c r="C186" s="10"/>
      <c r="D186" s="19"/>
      <c r="E186" s="19"/>
      <c r="G186" s="19"/>
      <c r="H186" s="19"/>
      <c r="I186" s="19"/>
      <c r="J186" s="41"/>
      <c r="K186" s="19"/>
      <c r="L186" s="19"/>
      <c r="M186" s="19"/>
      <c r="P186" s="19"/>
      <c r="Q186" s="19"/>
      <c r="R186" s="41"/>
      <c r="S186" s="19"/>
      <c r="T186" s="19"/>
      <c r="U186" s="19"/>
      <c r="V186" s="41"/>
      <c r="W186" s="19"/>
      <c r="X186" s="19"/>
    </row>
    <row r="187" spans="1:26" ht="15" customHeight="1" x14ac:dyDescent="0.3">
      <c r="A187" s="10"/>
      <c r="B187" s="57">
        <v>44634.88337653935</v>
      </c>
      <c r="D187" s="19"/>
      <c r="E187" s="19"/>
      <c r="G187" s="19"/>
      <c r="H187" s="19"/>
      <c r="I187" s="19"/>
      <c r="J187" s="41"/>
      <c r="K187" s="19"/>
      <c r="L187" s="19"/>
      <c r="M187" s="19"/>
      <c r="P187" s="19"/>
      <c r="Q187" s="19"/>
      <c r="R187" s="41"/>
      <c r="S187" s="19"/>
      <c r="T187" s="19"/>
      <c r="U187" s="19"/>
      <c r="V187" s="41"/>
      <c r="W187" s="19"/>
      <c r="X187" s="19"/>
    </row>
    <row r="188" spans="1:26" ht="15" customHeight="1" x14ac:dyDescent="0.3">
      <c r="A188" s="10"/>
      <c r="B188" s="56" t="s">
        <v>298</v>
      </c>
      <c r="D188" s="19"/>
      <c r="E188" s="19"/>
      <c r="G188" s="19"/>
      <c r="H188" s="19"/>
      <c r="I188" s="19"/>
      <c r="J188" s="41"/>
      <c r="K188" s="19"/>
      <c r="L188" s="19"/>
      <c r="M188" s="19"/>
      <c r="P188" s="19"/>
      <c r="Q188" s="19"/>
      <c r="R188" s="41"/>
      <c r="S188" s="19"/>
      <c r="T188" s="19"/>
      <c r="U188" s="19"/>
      <c r="V188" s="41"/>
      <c r="W188" s="19"/>
      <c r="X188" s="19"/>
    </row>
    <row r="189" spans="1:26" ht="15" customHeight="1" x14ac:dyDescent="0.3">
      <c r="A189" s="10"/>
      <c r="B189" s="54"/>
      <c r="D189" s="19"/>
      <c r="E189" s="19"/>
      <c r="G189" s="19"/>
      <c r="H189" s="19"/>
      <c r="I189" s="19"/>
      <c r="J189" s="41"/>
      <c r="K189" s="19"/>
      <c r="L189" s="19"/>
      <c r="M189" s="19"/>
      <c r="P189" s="19"/>
      <c r="Q189" s="19"/>
      <c r="R189" s="41"/>
      <c r="S189" s="19"/>
      <c r="T189" s="19"/>
      <c r="U189" s="19"/>
      <c r="V189" s="41"/>
      <c r="W189" s="19"/>
      <c r="X189" s="19"/>
    </row>
    <row r="190" spans="1:26" ht="15" customHeight="1" x14ac:dyDescent="0.3">
      <c r="D190" s="19"/>
      <c r="E190" s="19"/>
      <c r="G190" s="19"/>
      <c r="H190" s="19"/>
      <c r="I190" s="19"/>
      <c r="J190" s="41"/>
      <c r="K190" s="19"/>
      <c r="L190" s="19"/>
      <c r="M190" s="19"/>
      <c r="P190" s="19"/>
      <c r="Q190" s="19"/>
      <c r="R190" s="41"/>
      <c r="S190" s="19"/>
      <c r="T190" s="19"/>
      <c r="U190" s="19"/>
      <c r="V190" s="41"/>
      <c r="W190" s="19"/>
      <c r="X190" s="19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6DB99-08F6-9A0F-6541-24E78BDE9F12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312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4672B-5A64-CFE7-3423-00AB33DF1085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312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A5596-A687-4A55-C1CD-571F9F72629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313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36F51-646D-BF08-CC97-20244631C39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313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4C982-925D-1D13-34DA-C7DB5223455A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314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6175C-2489-FF1D-4C12-614C3FB2682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314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5B102-0BE3-C65B-BFC3-C225BFA3FA2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315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EB5E5-0A91-1104-22CC-9E7AEE18BD8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315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83CFE-BD7E-B6B5-814B-BE6CFD7DCCFF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299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>
        <f>SUM(0)</f>
        <v>0</v>
      </c>
      <c r="E18" s="23"/>
      <c r="F18" s="29">
        <f>IF(D$12=0,0,D18/D$12)</f>
        <v>0</v>
      </c>
      <c r="G18" s="23"/>
      <c r="H18" s="23">
        <f>SUM(0)</f>
        <v>0</v>
      </c>
      <c r="I18" s="23"/>
      <c r="J18" s="29">
        <f>IF(H$12=0,0,H18/H$12)</f>
        <v>0</v>
      </c>
      <c r="K18" s="5"/>
      <c r="L18" s="23">
        <f>+D18-H18</f>
        <v>0</v>
      </c>
      <c r="M18" s="5"/>
      <c r="N18" s="29">
        <f>IF(H18=0,0,L18/H18)</f>
        <v>0</v>
      </c>
      <c r="O18" s="11"/>
      <c r="P18" s="23">
        <f>SUM(0)</f>
        <v>0</v>
      </c>
      <c r="Q18" s="23"/>
      <c r="R18" s="29">
        <f>IF(P$12=0,0,P18/P$12)</f>
        <v>0</v>
      </c>
      <c r="S18" s="23"/>
      <c r="T18" s="23">
        <f>SUM(0)</f>
        <v>0</v>
      </c>
      <c r="U18" s="23"/>
      <c r="V18" s="29">
        <f>IF(T$12=0,0,T18/T$12)</f>
        <v>0</v>
      </c>
      <c r="W18" s="5"/>
      <c r="X18" s="23">
        <f>+P18-T18</f>
        <v>0</v>
      </c>
      <c r="Y18" s="5"/>
      <c r="Z18" s="29">
        <f>IF(T18=0,0,X18/T18)</f>
        <v>0</v>
      </c>
    </row>
    <row r="19" spans="1:26" s="65" customFormat="1" ht="15" customHeight="1" x14ac:dyDescent="0.3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8" t="s">
        <v>292</v>
      </c>
      <c r="C22" s="28"/>
      <c r="D22" s="21">
        <f>+D16-D18+D20</f>
        <v>0</v>
      </c>
      <c r="E22" s="15"/>
      <c r="F22" s="22">
        <f>IF(D$12=0,0,D22/D$12)</f>
        <v>0</v>
      </c>
      <c r="G22" s="15"/>
      <c r="H22" s="21">
        <f>+H16-H18+H20</f>
        <v>0</v>
      </c>
      <c r="I22" s="15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7"/>
      <c r="P22" s="21">
        <f>+P16-P18+P20</f>
        <v>0</v>
      </c>
      <c r="Q22" s="15"/>
      <c r="R22" s="22">
        <f>IF(P$12=0,0,P22/P$12)</f>
        <v>0</v>
      </c>
      <c r="S22" s="15"/>
      <c r="T22" s="21">
        <f>+T16-T18+T20</f>
        <v>0</v>
      </c>
      <c r="U22" s="15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8" t="s">
        <v>294</v>
      </c>
      <c r="C26" s="28"/>
      <c r="D26" s="33">
        <f>+D22-D24</f>
        <v>0</v>
      </c>
      <c r="E26" s="15"/>
      <c r="F26" s="32">
        <f>IF(D$12=0,0,D26/D$12)</f>
        <v>0</v>
      </c>
      <c r="G26" s="15"/>
      <c r="H26" s="33">
        <f>+H22-H24</f>
        <v>0</v>
      </c>
      <c r="I26" s="15"/>
      <c r="J26" s="32">
        <f>IF(H$12=0,0,H26/H$12)</f>
        <v>0</v>
      </c>
      <c r="K26" s="16"/>
      <c r="L26" s="33">
        <f>D26-H26</f>
        <v>0</v>
      </c>
      <c r="M26" s="16"/>
      <c r="N26" s="32">
        <f>IF(H26=0,0,L26/H26)</f>
        <v>0</v>
      </c>
      <c r="O26" s="27"/>
      <c r="P26" s="33">
        <f>+P22-P24</f>
        <v>0</v>
      </c>
      <c r="Q26" s="15"/>
      <c r="R26" s="32">
        <f>IF(P$12=0,0,P26/P$12)</f>
        <v>0</v>
      </c>
      <c r="S26" s="15"/>
      <c r="T26" s="33">
        <f>+T22-T24</f>
        <v>0</v>
      </c>
      <c r="U26" s="15"/>
      <c r="V26" s="32">
        <f>IF(T$12=0,0,T26/T$12)</f>
        <v>0</v>
      </c>
      <c r="W26" s="16"/>
      <c r="X26" s="33">
        <f>P26-T26</f>
        <v>0</v>
      </c>
      <c r="Y26" s="16"/>
      <c r="Z26" s="32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295</v>
      </c>
      <c r="C28" s="11"/>
      <c r="D28" s="5">
        <f>-302139.84</f>
        <v>-302139.84000000003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-317139.84000000003</v>
      </c>
      <c r="M28" s="5"/>
      <c r="N28" s="13">
        <f>IF(H28=0,0,L28/H28)</f>
        <v>-21.142656000000002</v>
      </c>
      <c r="O28" s="11"/>
      <c r="P28" s="5">
        <f>-916333.72</f>
        <v>-916333.72</v>
      </c>
      <c r="Q28" s="5"/>
      <c r="R28" s="13">
        <f>IF(P$12=0,0,P28/P$12)</f>
        <v>0</v>
      </c>
      <c r="S28" s="5"/>
      <c r="T28" s="5">
        <f>--120000</f>
        <v>120000</v>
      </c>
      <c r="U28" s="5"/>
      <c r="V28" s="13">
        <f>IF(T$12=0,0,T28/T$12)</f>
        <v>0</v>
      </c>
      <c r="W28" s="5"/>
      <c r="X28" s="5">
        <f>+P28-T28</f>
        <v>-1036333.72</v>
      </c>
      <c r="Y28" s="5"/>
      <c r="Z28" s="13">
        <f>IF(T28=0,0,X28/T28)</f>
        <v>-8.6361143333333334</v>
      </c>
    </row>
    <row r="29" spans="1:26" s="63" customFormat="1" ht="15" customHeight="1" x14ac:dyDescent="0.3">
      <c r="A29" s="49"/>
      <c r="B29" s="11" t="s">
        <v>296</v>
      </c>
      <c r="C29" s="11"/>
      <c r="D29" s="5">
        <f>--9329.2</f>
        <v>9329.2000000000007</v>
      </c>
      <c r="E29" s="5"/>
      <c r="F29" s="13">
        <f>IF(D$12=0,0,D29/D$12)</f>
        <v>0</v>
      </c>
      <c r="G29" s="5"/>
      <c r="H29" s="5">
        <f>--15000</f>
        <v>15000</v>
      </c>
      <c r="I29" s="5"/>
      <c r="J29" s="13">
        <f>IF(H$12=0,0,H29/H$12)</f>
        <v>0</v>
      </c>
      <c r="K29" s="5"/>
      <c r="L29" s="5">
        <f>+D29-H29</f>
        <v>-5670.7999999999993</v>
      </c>
      <c r="M29" s="5"/>
      <c r="N29" s="13">
        <f>IF(H29=0,0,L29/H29)</f>
        <v>-0.3780533333333333</v>
      </c>
      <c r="O29" s="11"/>
      <c r="P29" s="5">
        <f>--2318939.64</f>
        <v>2318939.64</v>
      </c>
      <c r="Q29" s="5"/>
      <c r="R29" s="13">
        <f>IF(P$12=0,0,P29/P$12)</f>
        <v>0</v>
      </c>
      <c r="S29" s="5"/>
      <c r="T29" s="5">
        <f>--130000</f>
        <v>130000</v>
      </c>
      <c r="U29" s="5"/>
      <c r="V29" s="13">
        <f>IF(T$12=0,0,T29/T$12)</f>
        <v>0</v>
      </c>
      <c r="W29" s="5"/>
      <c r="X29" s="5">
        <f>+P29-T29</f>
        <v>2188939.64</v>
      </c>
      <c r="Y29" s="5"/>
      <c r="Z29" s="13">
        <f>IF(T29=0,0,X29/T29)</f>
        <v>16.837997230769233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297</v>
      </c>
      <c r="C31" s="28"/>
      <c r="D31" s="34">
        <f>SUM(D26:D30)</f>
        <v>-292810.64</v>
      </c>
      <c r="E31" s="15"/>
      <c r="F31" s="30">
        <f>IF(D$12=0,0,D31/D$12)</f>
        <v>0</v>
      </c>
      <c r="G31" s="15"/>
      <c r="H31" s="34">
        <f>SUM(H26:H30)</f>
        <v>30000</v>
      </c>
      <c r="I31" s="15"/>
      <c r="J31" s="30">
        <f>IF(H$12=0,0,H31/H$12)</f>
        <v>0</v>
      </c>
      <c r="K31" s="16"/>
      <c r="L31" s="34">
        <f>+D31-H31</f>
        <v>-322810.64</v>
      </c>
      <c r="M31" s="16"/>
      <c r="N31" s="30">
        <f>IF(H31=0,0,L31/H31)</f>
        <v>-10.760354666666666</v>
      </c>
      <c r="O31" s="27"/>
      <c r="P31" s="34">
        <f>SUM(P26:P30)</f>
        <v>1402605.9200000002</v>
      </c>
      <c r="Q31" s="15"/>
      <c r="R31" s="30">
        <f>IF(P$12=0,0,P31/P$12)</f>
        <v>0</v>
      </c>
      <c r="S31" s="15"/>
      <c r="T31" s="34">
        <f>SUM(T26:T30)</f>
        <v>250000</v>
      </c>
      <c r="U31" s="15"/>
      <c r="V31" s="30">
        <f>IF(T$12=0,0,T31/T$12)</f>
        <v>0</v>
      </c>
      <c r="W31" s="16"/>
      <c r="X31" s="34">
        <f>+P31-T31</f>
        <v>1152605.9200000002</v>
      </c>
      <c r="Y31" s="16"/>
      <c r="Z31" s="30">
        <f>IF(T31=0,0,X31/T31)</f>
        <v>4.6104236800000002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0"/>
      <c r="B33" s="57">
        <v>44634.883409456015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0"/>
      <c r="B34" s="56" t="s">
        <v>298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0"/>
      <c r="B35" s="54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01A66-FFF7-69F3-F962-FAD079B32B01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","100"," - ","Corporate")</f>
        <v>Department 100 - Corporate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>
        <f>SUM(0)</f>
        <v>0</v>
      </c>
      <c r="E18" s="23"/>
      <c r="F18" s="29">
        <f>IF(D$12=0,0,D18/D$12)</f>
        <v>0</v>
      </c>
      <c r="G18" s="23"/>
      <c r="H18" s="23">
        <f>SUM(0)</f>
        <v>0</v>
      </c>
      <c r="I18" s="23"/>
      <c r="J18" s="29">
        <f>IF(H$12=0,0,H18/H$12)</f>
        <v>0</v>
      </c>
      <c r="K18" s="5"/>
      <c r="L18" s="23">
        <f>+D18-H18</f>
        <v>0</v>
      </c>
      <c r="M18" s="5"/>
      <c r="N18" s="29">
        <f>IF(H18=0,0,L18/H18)</f>
        <v>0</v>
      </c>
      <c r="O18" s="11"/>
      <c r="P18" s="23">
        <f>SUM(0)</f>
        <v>0</v>
      </c>
      <c r="Q18" s="23"/>
      <c r="R18" s="29">
        <f>IF(P$12=0,0,P18/P$12)</f>
        <v>0</v>
      </c>
      <c r="S18" s="23"/>
      <c r="T18" s="23">
        <f>SUM(0)</f>
        <v>0</v>
      </c>
      <c r="U18" s="23"/>
      <c r="V18" s="29">
        <f>IF(T$12=0,0,T18/T$12)</f>
        <v>0</v>
      </c>
      <c r="W18" s="5"/>
      <c r="X18" s="23">
        <f>+P18-T18</f>
        <v>0</v>
      </c>
      <c r="Y18" s="5"/>
      <c r="Z18" s="29">
        <f>IF(T18=0,0,X18/T18)</f>
        <v>0</v>
      </c>
    </row>
    <row r="19" spans="1:26" s="65" customFormat="1" ht="15" customHeight="1" x14ac:dyDescent="0.3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8" t="s">
        <v>292</v>
      </c>
      <c r="C22" s="28"/>
      <c r="D22" s="21">
        <f>+D16-D18+D20</f>
        <v>0</v>
      </c>
      <c r="E22" s="15"/>
      <c r="F22" s="22">
        <f>IF(D$12=0,0,D22/D$12)</f>
        <v>0</v>
      </c>
      <c r="G22" s="15"/>
      <c r="H22" s="21">
        <f>+H16-H18+H20</f>
        <v>0</v>
      </c>
      <c r="I22" s="15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7"/>
      <c r="P22" s="21">
        <f>+P16-P18+P20</f>
        <v>0</v>
      </c>
      <c r="Q22" s="15"/>
      <c r="R22" s="22">
        <f>IF(P$12=0,0,P22/P$12)</f>
        <v>0</v>
      </c>
      <c r="S22" s="15"/>
      <c r="T22" s="21">
        <f>+T16-T18+T20</f>
        <v>0</v>
      </c>
      <c r="U22" s="15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8" t="s">
        <v>294</v>
      </c>
      <c r="C26" s="28"/>
      <c r="D26" s="33">
        <f>+D22-D24</f>
        <v>0</v>
      </c>
      <c r="E26" s="15"/>
      <c r="F26" s="32">
        <f>IF(D$12=0,0,D26/D$12)</f>
        <v>0</v>
      </c>
      <c r="G26" s="15"/>
      <c r="H26" s="33">
        <f>+H22-H24</f>
        <v>0</v>
      </c>
      <c r="I26" s="15"/>
      <c r="J26" s="32">
        <f>IF(H$12=0,0,H26/H$12)</f>
        <v>0</v>
      </c>
      <c r="K26" s="16"/>
      <c r="L26" s="33">
        <f>D26-H26</f>
        <v>0</v>
      </c>
      <c r="M26" s="16"/>
      <c r="N26" s="32">
        <f>IF(H26=0,0,L26/H26)</f>
        <v>0</v>
      </c>
      <c r="O26" s="27"/>
      <c r="P26" s="33">
        <f>+P22-P24</f>
        <v>0</v>
      </c>
      <c r="Q26" s="15"/>
      <c r="R26" s="32">
        <f>IF(P$12=0,0,P26/P$12)</f>
        <v>0</v>
      </c>
      <c r="S26" s="15"/>
      <c r="T26" s="33">
        <f>+T22-T24</f>
        <v>0</v>
      </c>
      <c r="U26" s="15"/>
      <c r="V26" s="32">
        <f>IF(T$12=0,0,T26/T$12)</f>
        <v>0</v>
      </c>
      <c r="W26" s="16"/>
      <c r="X26" s="33">
        <f>P26-T26</f>
        <v>0</v>
      </c>
      <c r="Y26" s="16"/>
      <c r="Z26" s="32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295</v>
      </c>
      <c r="C28" s="11"/>
      <c r="D28" s="5">
        <f>-302139.84</f>
        <v>-302139.84000000003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-317139.84000000003</v>
      </c>
      <c r="M28" s="5"/>
      <c r="N28" s="13">
        <f>IF(H28=0,0,L28/H28)</f>
        <v>-21.142656000000002</v>
      </c>
      <c r="O28" s="11"/>
      <c r="P28" s="5">
        <f>-916333.72</f>
        <v>-916333.72</v>
      </c>
      <c r="Q28" s="5"/>
      <c r="R28" s="13">
        <f>IF(P$12=0,0,P28/P$12)</f>
        <v>0</v>
      </c>
      <c r="S28" s="5"/>
      <c r="T28" s="5">
        <f>--120000</f>
        <v>120000</v>
      </c>
      <c r="U28" s="5"/>
      <c r="V28" s="13">
        <f>IF(T$12=0,0,T28/T$12)</f>
        <v>0</v>
      </c>
      <c r="W28" s="5"/>
      <c r="X28" s="5">
        <f>+P28-T28</f>
        <v>-1036333.72</v>
      </c>
      <c r="Y28" s="5"/>
      <c r="Z28" s="13">
        <f>IF(T28=0,0,X28/T28)</f>
        <v>-8.6361143333333334</v>
      </c>
    </row>
    <row r="29" spans="1:26" s="63" customFormat="1" ht="15" customHeight="1" x14ac:dyDescent="0.3">
      <c r="A29" s="49"/>
      <c r="B29" s="11" t="s">
        <v>296</v>
      </c>
      <c r="C29" s="11"/>
      <c r="D29" s="5">
        <f>--9329.2</f>
        <v>9329.2000000000007</v>
      </c>
      <c r="E29" s="5"/>
      <c r="F29" s="13">
        <f>IF(D$12=0,0,D29/D$12)</f>
        <v>0</v>
      </c>
      <c r="G29" s="5"/>
      <c r="H29" s="5">
        <f>--15000</f>
        <v>15000</v>
      </c>
      <c r="I29" s="5"/>
      <c r="J29" s="13">
        <f>IF(H$12=0,0,H29/H$12)</f>
        <v>0</v>
      </c>
      <c r="K29" s="5"/>
      <c r="L29" s="5">
        <f>+D29-H29</f>
        <v>-5670.7999999999993</v>
      </c>
      <c r="M29" s="5"/>
      <c r="N29" s="13">
        <f>IF(H29=0,0,L29/H29)</f>
        <v>-0.3780533333333333</v>
      </c>
      <c r="O29" s="11"/>
      <c r="P29" s="5">
        <f>--2318939.64</f>
        <v>2318939.64</v>
      </c>
      <c r="Q29" s="5"/>
      <c r="R29" s="13">
        <f>IF(P$12=0,0,P29/P$12)</f>
        <v>0</v>
      </c>
      <c r="S29" s="5"/>
      <c r="T29" s="5">
        <f>--130000</f>
        <v>130000</v>
      </c>
      <c r="U29" s="5"/>
      <c r="V29" s="13">
        <f>IF(T$12=0,0,T29/T$12)</f>
        <v>0</v>
      </c>
      <c r="W29" s="5"/>
      <c r="X29" s="5">
        <f>+P29-T29</f>
        <v>2188939.64</v>
      </c>
      <c r="Y29" s="5"/>
      <c r="Z29" s="13">
        <f>IF(T29=0,0,X29/T29)</f>
        <v>16.837997230769233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297</v>
      </c>
      <c r="C31" s="28"/>
      <c r="D31" s="34">
        <f>SUM(D26:D30)</f>
        <v>-292810.64</v>
      </c>
      <c r="E31" s="15"/>
      <c r="F31" s="30">
        <f>IF(D$12=0,0,D31/D$12)</f>
        <v>0</v>
      </c>
      <c r="G31" s="15"/>
      <c r="H31" s="34">
        <f>SUM(H26:H30)</f>
        <v>30000</v>
      </c>
      <c r="I31" s="15"/>
      <c r="J31" s="30">
        <f>IF(H$12=0,0,H31/H$12)</f>
        <v>0</v>
      </c>
      <c r="K31" s="16"/>
      <c r="L31" s="34">
        <f>+D31-H31</f>
        <v>-322810.64</v>
      </c>
      <c r="M31" s="16"/>
      <c r="N31" s="30">
        <f>IF(H31=0,0,L31/H31)</f>
        <v>-10.760354666666666</v>
      </c>
      <c r="O31" s="27"/>
      <c r="P31" s="34">
        <f>SUM(P26:P30)</f>
        <v>1402605.9200000002</v>
      </c>
      <c r="Q31" s="15"/>
      <c r="R31" s="30">
        <f>IF(P$12=0,0,P31/P$12)</f>
        <v>0</v>
      </c>
      <c r="S31" s="15"/>
      <c r="T31" s="34">
        <f>SUM(T26:T30)</f>
        <v>250000</v>
      </c>
      <c r="U31" s="15"/>
      <c r="V31" s="30">
        <f>IF(T$12=0,0,T31/T$12)</f>
        <v>0</v>
      </c>
      <c r="W31" s="16"/>
      <c r="X31" s="34">
        <f>+P31-T31</f>
        <v>1152605.9200000002</v>
      </c>
      <c r="Y31" s="16"/>
      <c r="Z31" s="30">
        <f>IF(T31=0,0,X31/T31)</f>
        <v>4.6104236800000002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0"/>
      <c r="B33" s="57">
        <v>44634.883430555557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0"/>
      <c r="B34" s="56" t="s">
        <v>298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0"/>
      <c r="B35" s="54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0D3E3-46B4-4D41-ED15-D30354BDF569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278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13F92-C496-F756-DEB9-13B8F8DAC0AB}">
  <sheetPr>
    <tabColor rgb="FFFFC0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300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237459.55000000005</v>
      </c>
      <c r="E18" s="23"/>
      <c r="F18" s="29">
        <f t="shared" ref="F18:F49" si="0">IF(D$12=0,0,D18/D$12)</f>
        <v>0</v>
      </c>
      <c r="G18" s="23"/>
      <c r="H18" s="23" cm="1">
        <f t="array" ref="H18">SUM(OSRRefH22x_0)</f>
        <v>238186.01269830161</v>
      </c>
      <c r="I18" s="23"/>
      <c r="J18" s="29">
        <f t="shared" ref="J18:J49" si="1">IF(H$12=0,0,H18/H$12)</f>
        <v>0</v>
      </c>
      <c r="K18" s="5"/>
      <c r="L18" s="23">
        <f t="shared" ref="L18:L49" si="2">+D18-H18</f>
        <v>-726.46269830156234</v>
      </c>
      <c r="M18" s="5"/>
      <c r="N18" s="29">
        <f t="shared" ref="N18:N49" si="3">IF(H18=0,0,L18/H18)</f>
        <v>-3.0499805176290372E-3</v>
      </c>
      <c r="O18" s="11"/>
      <c r="P18" s="23" cm="1">
        <f t="array" ref="P18">SUM(OSRRefP22x_0)</f>
        <v>1953036.5999999999</v>
      </c>
      <c r="Q18" s="23"/>
      <c r="R18" s="29">
        <f t="shared" ref="R18:R49" si="4">IF(P$12=0,0,P18/P$12)</f>
        <v>0</v>
      </c>
      <c r="S18" s="23"/>
      <c r="T18" s="23" cm="1">
        <f t="array" ref="T18">SUM(OSRRefT22x_0)</f>
        <v>2093190.8974470613</v>
      </c>
      <c r="U18" s="23"/>
      <c r="V18" s="29">
        <f t="shared" ref="V18:V49" si="5">IF(T$12=0,0,T18/T$12)</f>
        <v>0</v>
      </c>
      <c r="W18" s="5"/>
      <c r="X18" s="23">
        <f t="shared" ref="X18:X49" si="6">+P18-T18</f>
        <v>-140154.2974470614</v>
      </c>
      <c r="Y18" s="5"/>
      <c r="Z18" s="29">
        <f t="shared" ref="Z18:Z49" si="7">IF(T18=0,0,X18/T18)</f>
        <v>-6.6957245809734389E-2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78263.73000000001</v>
      </c>
      <c r="E19" s="2"/>
      <c r="F19" s="6">
        <f t="shared" si="0"/>
        <v>0</v>
      </c>
      <c r="G19" s="2"/>
      <c r="H19" s="2">
        <f>SUM(OSRRefH22_0x_0)</f>
        <v>84866.283861378528</v>
      </c>
      <c r="I19" s="2"/>
      <c r="J19" s="6">
        <f t="shared" si="1"/>
        <v>0</v>
      </c>
      <c r="K19" s="2"/>
      <c r="L19" s="2">
        <f t="shared" si="2"/>
        <v>-6602.5538613785175</v>
      </c>
      <c r="M19" s="2"/>
      <c r="N19" s="6">
        <f t="shared" si="3"/>
        <v>-7.779949304912652E-2</v>
      </c>
      <c r="O19" s="14"/>
      <c r="P19" s="2">
        <f>SUM(OSRRefP22_0x_0)</f>
        <v>695915.52999999991</v>
      </c>
      <c r="Q19" s="2"/>
      <c r="R19" s="6">
        <f t="shared" si="4"/>
        <v>0</v>
      </c>
      <c r="S19" s="2"/>
      <c r="T19" s="2">
        <f>SUM(OSRRefT22_0x_0)</f>
        <v>691173.06627783133</v>
      </c>
      <c r="U19" s="2"/>
      <c r="V19" s="6">
        <f t="shared" si="5"/>
        <v>0</v>
      </c>
      <c r="W19" s="2"/>
      <c r="X19" s="2">
        <f t="shared" si="6"/>
        <v>4742.4637221685844</v>
      </c>
      <c r="Y19" s="2"/>
      <c r="Z19" s="6">
        <f t="shared" si="7"/>
        <v>6.8614706700134247E-3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7935.49</v>
      </c>
      <c r="E20" s="3"/>
      <c r="F20" s="7">
        <f t="shared" si="0"/>
        <v>0</v>
      </c>
      <c r="G20" s="3"/>
      <c r="H20" s="8">
        <v>7705.3153428553896</v>
      </c>
      <c r="I20" s="3"/>
      <c r="J20" s="7">
        <f t="shared" si="1"/>
        <v>0</v>
      </c>
      <c r="K20" s="3"/>
      <c r="L20" s="8">
        <f t="shared" si="2"/>
        <v>230.17465714461014</v>
      </c>
      <c r="M20" s="3"/>
      <c r="N20" s="7">
        <f t="shared" si="3"/>
        <v>2.9872191714779759E-2</v>
      </c>
      <c r="O20" s="12"/>
      <c r="P20" s="8">
        <v>65068.57</v>
      </c>
      <c r="Q20" s="3"/>
      <c r="R20" s="7">
        <f t="shared" si="4"/>
        <v>0</v>
      </c>
      <c r="S20" s="3"/>
      <c r="T20" s="8">
        <v>65713.771734599999</v>
      </c>
      <c r="U20" s="3"/>
      <c r="V20" s="7">
        <f t="shared" si="5"/>
        <v>0</v>
      </c>
      <c r="W20" s="3"/>
      <c r="X20" s="8">
        <f t="shared" si="6"/>
        <v>-645.20173459999933</v>
      </c>
      <c r="Y20" s="3"/>
      <c r="Z20" s="7">
        <f t="shared" si="7"/>
        <v>-9.8183640592993688E-3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1526.42</v>
      </c>
      <c r="E21" s="3"/>
      <c r="F21" s="7">
        <f t="shared" si="0"/>
        <v>0</v>
      </c>
      <c r="G21" s="3"/>
      <c r="H21" s="8">
        <v>627.70781710769199</v>
      </c>
      <c r="I21" s="3"/>
      <c r="J21" s="7">
        <f t="shared" si="1"/>
        <v>0</v>
      </c>
      <c r="K21" s="3"/>
      <c r="L21" s="8">
        <f t="shared" si="2"/>
        <v>898.71218289230808</v>
      </c>
      <c r="M21" s="3"/>
      <c r="N21" s="7">
        <f t="shared" si="3"/>
        <v>1.4317364837566162</v>
      </c>
      <c r="O21" s="12"/>
      <c r="P21" s="8">
        <v>13059.8</v>
      </c>
      <c r="Q21" s="3"/>
      <c r="R21" s="7">
        <f t="shared" si="4"/>
        <v>0</v>
      </c>
      <c r="S21" s="3"/>
      <c r="T21" s="8">
        <v>5378.6925719999999</v>
      </c>
      <c r="U21" s="3"/>
      <c r="V21" s="7">
        <f t="shared" si="5"/>
        <v>0</v>
      </c>
      <c r="W21" s="3"/>
      <c r="X21" s="8">
        <f t="shared" si="6"/>
        <v>7681.1074279999993</v>
      </c>
      <c r="Y21" s="3"/>
      <c r="Z21" s="7">
        <f t="shared" si="7"/>
        <v>1.4280621777838243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20065.64</v>
      </c>
      <c r="E22" s="3"/>
      <c r="F22" s="7">
        <f t="shared" si="0"/>
        <v>0</v>
      </c>
      <c r="G22" s="3"/>
      <c r="H22" s="8">
        <v>23635.538461538501</v>
      </c>
      <c r="I22" s="3"/>
      <c r="J22" s="7">
        <f t="shared" si="1"/>
        <v>0</v>
      </c>
      <c r="K22" s="3"/>
      <c r="L22" s="8">
        <f t="shared" si="2"/>
        <v>-3569.8984615385016</v>
      </c>
      <c r="M22" s="3"/>
      <c r="N22" s="7">
        <f t="shared" si="3"/>
        <v>-0.15103943865496039</v>
      </c>
      <c r="O22" s="12"/>
      <c r="P22" s="8">
        <v>174928.02</v>
      </c>
      <c r="Q22" s="3"/>
      <c r="R22" s="7">
        <f t="shared" si="4"/>
        <v>0</v>
      </c>
      <c r="S22" s="3"/>
      <c r="T22" s="8">
        <v>190932.461538462</v>
      </c>
      <c r="U22" s="3"/>
      <c r="V22" s="7">
        <f t="shared" si="5"/>
        <v>0</v>
      </c>
      <c r="W22" s="3"/>
      <c r="X22" s="8">
        <f t="shared" si="6"/>
        <v>-16004.441538462008</v>
      </c>
      <c r="Y22" s="3"/>
      <c r="Z22" s="7">
        <f t="shared" si="7"/>
        <v>-8.3822527659803026E-2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269.38</v>
      </c>
      <c r="E23" s="3"/>
      <c r="F23" s="7">
        <f t="shared" si="0"/>
        <v>0</v>
      </c>
      <c r="G23" s="3"/>
      <c r="H23" s="8">
        <v>234.44482449230799</v>
      </c>
      <c r="I23" s="3"/>
      <c r="J23" s="7">
        <f t="shared" si="1"/>
        <v>0</v>
      </c>
      <c r="K23" s="3"/>
      <c r="L23" s="8">
        <f t="shared" si="2"/>
        <v>34.935175507692009</v>
      </c>
      <c r="M23" s="3"/>
      <c r="N23" s="7">
        <f t="shared" si="3"/>
        <v>0.14901235539468355</v>
      </c>
      <c r="O23" s="12"/>
      <c r="P23" s="8">
        <v>2316.91</v>
      </c>
      <c r="Q23" s="3"/>
      <c r="R23" s="7">
        <f t="shared" si="4"/>
        <v>0</v>
      </c>
      <c r="S23" s="3"/>
      <c r="T23" s="8">
        <v>1974.335202</v>
      </c>
      <c r="U23" s="3"/>
      <c r="V23" s="7">
        <f t="shared" si="5"/>
        <v>0</v>
      </c>
      <c r="W23" s="3"/>
      <c r="X23" s="8">
        <f t="shared" si="6"/>
        <v>342.57479799999987</v>
      </c>
      <c r="Y23" s="3"/>
      <c r="Z23" s="7">
        <f t="shared" si="7"/>
        <v>0.17351399987852714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8103.29</v>
      </c>
      <c r="E24" s="3"/>
      <c r="F24" s="7">
        <f t="shared" si="0"/>
        <v>0</v>
      </c>
      <c r="G24" s="3"/>
      <c r="H24" s="8">
        <v>6526.3494769230801</v>
      </c>
      <c r="I24" s="3"/>
      <c r="J24" s="7">
        <f t="shared" si="1"/>
        <v>0</v>
      </c>
      <c r="K24" s="3"/>
      <c r="L24" s="8">
        <f t="shared" si="2"/>
        <v>1576.9405230769198</v>
      </c>
      <c r="M24" s="3"/>
      <c r="N24" s="7">
        <f t="shared" si="3"/>
        <v>0.24162673614904023</v>
      </c>
      <c r="O24" s="12"/>
      <c r="P24" s="8">
        <v>65423.94</v>
      </c>
      <c r="Q24" s="3"/>
      <c r="R24" s="7">
        <f t="shared" si="4"/>
        <v>0</v>
      </c>
      <c r="S24" s="3"/>
      <c r="T24" s="8">
        <v>54470.981</v>
      </c>
      <c r="U24" s="3"/>
      <c r="V24" s="7">
        <f t="shared" si="5"/>
        <v>0</v>
      </c>
      <c r="W24" s="3"/>
      <c r="X24" s="8">
        <f t="shared" si="6"/>
        <v>10952.959000000003</v>
      </c>
      <c r="Y24" s="3"/>
      <c r="Z24" s="7">
        <f t="shared" si="7"/>
        <v>0.20107879092539205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417</v>
      </c>
      <c r="I25" s="3"/>
      <c r="J25" s="7">
        <f t="shared" si="1"/>
        <v>0</v>
      </c>
      <c r="K25" s="3"/>
      <c r="L25" s="8">
        <f t="shared" si="2"/>
        <v>-417</v>
      </c>
      <c r="M25" s="3"/>
      <c r="N25" s="7">
        <f t="shared" si="3"/>
        <v>-1</v>
      </c>
      <c r="O25" s="12"/>
      <c r="P25" s="8">
        <v>2636</v>
      </c>
      <c r="Q25" s="3"/>
      <c r="R25" s="7">
        <f t="shared" si="4"/>
        <v>0</v>
      </c>
      <c r="S25" s="3"/>
      <c r="T25" s="8">
        <v>3336</v>
      </c>
      <c r="U25" s="3"/>
      <c r="V25" s="7">
        <f t="shared" si="5"/>
        <v>0</v>
      </c>
      <c r="W25" s="3"/>
      <c r="X25" s="8">
        <f t="shared" si="6"/>
        <v>-700</v>
      </c>
      <c r="Y25" s="3"/>
      <c r="Z25" s="7">
        <f t="shared" si="7"/>
        <v>-0.20983213429256595</v>
      </c>
    </row>
    <row r="26" spans="1:26" s="70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680.31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680.31</v>
      </c>
      <c r="M26" s="3"/>
      <c r="N26" s="7">
        <f t="shared" si="3"/>
        <v>0</v>
      </c>
      <c r="O26" s="12"/>
      <c r="P26" s="8">
        <v>8642.59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8642.59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6621.42</v>
      </c>
      <c r="E27" s="3"/>
      <c r="F27" s="7">
        <f t="shared" si="0"/>
        <v>0</v>
      </c>
      <c r="G27" s="3"/>
      <c r="H27" s="8">
        <v>4505.4114707692397</v>
      </c>
      <c r="I27" s="3"/>
      <c r="J27" s="7">
        <f t="shared" si="1"/>
        <v>0</v>
      </c>
      <c r="K27" s="3"/>
      <c r="L27" s="8">
        <f t="shared" si="2"/>
        <v>2116.0085292307604</v>
      </c>
      <c r="M27" s="3"/>
      <c r="N27" s="7">
        <f t="shared" si="3"/>
        <v>0.46965932922203879</v>
      </c>
      <c r="O27" s="12"/>
      <c r="P27" s="8">
        <v>68728.479999999996</v>
      </c>
      <c r="Q27" s="3"/>
      <c r="R27" s="7">
        <f t="shared" si="4"/>
        <v>0</v>
      </c>
      <c r="S27" s="3"/>
      <c r="T27" s="8">
        <v>37890.619599999998</v>
      </c>
      <c r="U27" s="3"/>
      <c r="V27" s="7">
        <f t="shared" si="5"/>
        <v>0</v>
      </c>
      <c r="W27" s="3"/>
      <c r="X27" s="8">
        <f t="shared" si="6"/>
        <v>30837.860399999998</v>
      </c>
      <c r="Y27" s="3"/>
      <c r="Z27" s="7">
        <f t="shared" si="7"/>
        <v>0.81386529767911209</v>
      </c>
    </row>
    <row r="28" spans="1:26" s="70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4588.54</v>
      </c>
      <c r="E28" s="3"/>
      <c r="F28" s="7">
        <f t="shared" si="0"/>
        <v>0</v>
      </c>
      <c r="G28" s="3"/>
      <c r="H28" s="8">
        <v>3814.51646769231</v>
      </c>
      <c r="I28" s="3"/>
      <c r="J28" s="7">
        <f t="shared" si="1"/>
        <v>0</v>
      </c>
      <c r="K28" s="3"/>
      <c r="L28" s="8">
        <f t="shared" si="2"/>
        <v>774.02353230768995</v>
      </c>
      <c r="M28" s="3"/>
      <c r="N28" s="7">
        <f t="shared" si="3"/>
        <v>0.20291524204008887</v>
      </c>
      <c r="O28" s="12"/>
      <c r="P28" s="8">
        <v>64427.95</v>
      </c>
      <c r="Q28" s="3"/>
      <c r="R28" s="7">
        <f t="shared" si="4"/>
        <v>0</v>
      </c>
      <c r="S28" s="3"/>
      <c r="T28" s="8">
        <v>32276.204630769302</v>
      </c>
      <c r="U28" s="3"/>
      <c r="V28" s="7">
        <f t="shared" si="5"/>
        <v>0</v>
      </c>
      <c r="W28" s="3"/>
      <c r="X28" s="8">
        <f t="shared" si="6"/>
        <v>32151.745369230695</v>
      </c>
      <c r="Y28" s="3"/>
      <c r="Z28" s="7">
        <f t="shared" si="7"/>
        <v>0.99614393132766432</v>
      </c>
    </row>
    <row r="29" spans="1:26" s="70" customFormat="1" ht="15" hidden="1" customHeight="1" outlineLevel="2" x14ac:dyDescent="0.3">
      <c r="A29" s="26"/>
      <c r="B29" s="12" t="str">
        <f>CONCATENATE("          ","6120"," - ","RETIREES HEALTH INSURANCE")</f>
        <v xml:space="preserve">          6120 - RETIREES HEALTH INSURANCE</v>
      </c>
      <c r="C29" s="12"/>
      <c r="D29" s="8">
        <v>26491.86</v>
      </c>
      <c r="E29" s="3"/>
      <c r="F29" s="7">
        <f t="shared" si="0"/>
        <v>0</v>
      </c>
      <c r="G29" s="3"/>
      <c r="H29" s="8">
        <v>35000</v>
      </c>
      <c r="I29" s="3"/>
      <c r="J29" s="7">
        <f t="shared" si="1"/>
        <v>0</v>
      </c>
      <c r="K29" s="3"/>
      <c r="L29" s="8">
        <f t="shared" si="2"/>
        <v>-8508.14</v>
      </c>
      <c r="M29" s="3"/>
      <c r="N29" s="7">
        <f t="shared" si="3"/>
        <v>-0.24308971428571427</v>
      </c>
      <c r="O29" s="12"/>
      <c r="P29" s="8">
        <v>218700.08</v>
      </c>
      <c r="Q29" s="3"/>
      <c r="R29" s="7">
        <f t="shared" si="4"/>
        <v>0</v>
      </c>
      <c r="S29" s="3"/>
      <c r="T29" s="8">
        <v>280000</v>
      </c>
      <c r="U29" s="3"/>
      <c r="V29" s="7">
        <f t="shared" si="5"/>
        <v>0</v>
      </c>
      <c r="W29" s="3"/>
      <c r="X29" s="8">
        <f t="shared" si="6"/>
        <v>-61299.920000000013</v>
      </c>
      <c r="Y29" s="3"/>
      <c r="Z29" s="7">
        <f t="shared" si="7"/>
        <v>-0.21892828571428577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8">
        <v>1981.38</v>
      </c>
      <c r="E30" s="3"/>
      <c r="F30" s="7">
        <f t="shared" si="0"/>
        <v>0</v>
      </c>
      <c r="G30" s="3"/>
      <c r="H30" s="8">
        <v>2400</v>
      </c>
      <c r="I30" s="3"/>
      <c r="J30" s="7">
        <f t="shared" si="1"/>
        <v>0</v>
      </c>
      <c r="K30" s="3"/>
      <c r="L30" s="8">
        <f t="shared" si="2"/>
        <v>-418.61999999999989</v>
      </c>
      <c r="M30" s="3"/>
      <c r="N30" s="7">
        <f t="shared" si="3"/>
        <v>-0.17442499999999994</v>
      </c>
      <c r="O30" s="12"/>
      <c r="P30" s="8">
        <v>11983.19</v>
      </c>
      <c r="Q30" s="3"/>
      <c r="R30" s="7">
        <f t="shared" si="4"/>
        <v>0</v>
      </c>
      <c r="S30" s="3"/>
      <c r="T30" s="8">
        <v>19200</v>
      </c>
      <c r="U30" s="3"/>
      <c r="V30" s="7">
        <f t="shared" si="5"/>
        <v>0</v>
      </c>
      <c r="W30" s="3"/>
      <c r="X30" s="8">
        <f t="shared" si="6"/>
        <v>-7216.8099999999995</v>
      </c>
      <c r="Y30" s="3"/>
      <c r="Z30" s="7">
        <f t="shared" si="7"/>
        <v>-0.37587552083333331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99296.5</v>
      </c>
      <c r="E31" s="2"/>
      <c r="F31" s="6">
        <f t="shared" si="0"/>
        <v>0</v>
      </c>
      <c r="G31" s="2"/>
      <c r="H31" s="2">
        <f>SUM(OSRRefH22_1x_0)</f>
        <v>102202.7288369231</v>
      </c>
      <c r="I31" s="2"/>
      <c r="J31" s="6">
        <f t="shared" si="1"/>
        <v>0</v>
      </c>
      <c r="K31" s="2"/>
      <c r="L31" s="2">
        <f t="shared" si="2"/>
        <v>-2906.2288369230955</v>
      </c>
      <c r="M31" s="2"/>
      <c r="N31" s="6">
        <f t="shared" si="3"/>
        <v>-2.8435922112807162E-2</v>
      </c>
      <c r="O31" s="14"/>
      <c r="P31" s="2">
        <f>SUM(OSRRefP22_1x_0)</f>
        <v>828589.54</v>
      </c>
      <c r="Q31" s="2"/>
      <c r="R31" s="6">
        <f t="shared" si="4"/>
        <v>0</v>
      </c>
      <c r="S31" s="2"/>
      <c r="T31" s="2">
        <f>SUM(OSRRefT22_1x_0)</f>
        <v>860030.83116923005</v>
      </c>
      <c r="U31" s="2"/>
      <c r="V31" s="6">
        <f t="shared" si="5"/>
        <v>0</v>
      </c>
      <c r="W31" s="2"/>
      <c r="X31" s="2">
        <f t="shared" si="6"/>
        <v>-31441.291169230011</v>
      </c>
      <c r="Y31" s="2"/>
      <c r="Z31" s="6">
        <f t="shared" si="7"/>
        <v>-3.6558330271119363E-2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8">
        <v>26773.7</v>
      </c>
      <c r="E32" s="3"/>
      <c r="F32" s="7">
        <f t="shared" si="0"/>
        <v>0</v>
      </c>
      <c r="G32" s="3"/>
      <c r="H32" s="8">
        <v>34156.196923076997</v>
      </c>
      <c r="I32" s="3"/>
      <c r="J32" s="7">
        <f t="shared" si="1"/>
        <v>0</v>
      </c>
      <c r="K32" s="3"/>
      <c r="L32" s="8">
        <f t="shared" si="2"/>
        <v>-7382.4969230769966</v>
      </c>
      <c r="M32" s="3"/>
      <c r="N32" s="7">
        <f t="shared" si="3"/>
        <v>-0.21613931257344257</v>
      </c>
      <c r="O32" s="12"/>
      <c r="P32" s="8">
        <v>222674.2</v>
      </c>
      <c r="Q32" s="3"/>
      <c r="R32" s="7">
        <f t="shared" si="4"/>
        <v>0</v>
      </c>
      <c r="S32" s="3"/>
      <c r="T32" s="8">
        <v>270682.87692307698</v>
      </c>
      <c r="U32" s="3"/>
      <c r="V32" s="7">
        <f t="shared" si="5"/>
        <v>0</v>
      </c>
      <c r="W32" s="3"/>
      <c r="X32" s="8">
        <f t="shared" si="6"/>
        <v>-48008.676923076971</v>
      </c>
      <c r="Y32" s="3"/>
      <c r="Z32" s="7">
        <f t="shared" si="7"/>
        <v>-0.17736133688545117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49654.55</v>
      </c>
      <c r="E33" s="3"/>
      <c r="F33" s="7">
        <f t="shared" si="0"/>
        <v>0</v>
      </c>
      <c r="G33" s="3"/>
      <c r="H33" s="8">
        <v>35167.686153846102</v>
      </c>
      <c r="I33" s="3"/>
      <c r="J33" s="7">
        <f t="shared" si="1"/>
        <v>0</v>
      </c>
      <c r="K33" s="3"/>
      <c r="L33" s="8">
        <f t="shared" si="2"/>
        <v>14486.863846153901</v>
      </c>
      <c r="M33" s="3"/>
      <c r="N33" s="7">
        <f t="shared" si="3"/>
        <v>0.41193679284952189</v>
      </c>
      <c r="O33" s="12"/>
      <c r="P33" s="8">
        <v>407595.67</v>
      </c>
      <c r="Q33" s="3"/>
      <c r="R33" s="7">
        <f t="shared" si="4"/>
        <v>0</v>
      </c>
      <c r="S33" s="3"/>
      <c r="T33" s="8">
        <v>307717.25384615298</v>
      </c>
      <c r="U33" s="3"/>
      <c r="V33" s="7">
        <f t="shared" si="5"/>
        <v>0</v>
      </c>
      <c r="W33" s="3"/>
      <c r="X33" s="8">
        <f t="shared" si="6"/>
        <v>99878.416153847007</v>
      </c>
      <c r="Y33" s="3"/>
      <c r="Z33" s="7">
        <f t="shared" si="7"/>
        <v>0.32457853729509251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8">
        <v>24692.99</v>
      </c>
      <c r="E35" s="3"/>
      <c r="F35" s="7">
        <f t="shared" si="0"/>
        <v>0</v>
      </c>
      <c r="G35" s="3"/>
      <c r="H35" s="8">
        <v>24042.045760000001</v>
      </c>
      <c r="I35" s="3"/>
      <c r="J35" s="7">
        <f t="shared" si="1"/>
        <v>0</v>
      </c>
      <c r="K35" s="3"/>
      <c r="L35" s="8">
        <f t="shared" si="2"/>
        <v>650.94424000000072</v>
      </c>
      <c r="M35" s="3"/>
      <c r="N35" s="7">
        <f t="shared" si="3"/>
        <v>2.7075243367309883E-2</v>
      </c>
      <c r="O35" s="12"/>
      <c r="P35" s="8">
        <v>166083.18</v>
      </c>
      <c r="Q35" s="3"/>
      <c r="R35" s="7">
        <f t="shared" si="4"/>
        <v>0</v>
      </c>
      <c r="S35" s="3"/>
      <c r="T35" s="8">
        <v>210367.90040000001</v>
      </c>
      <c r="U35" s="3"/>
      <c r="V35" s="7">
        <f t="shared" si="5"/>
        <v>0</v>
      </c>
      <c r="W35" s="3"/>
      <c r="X35" s="8">
        <f t="shared" si="6"/>
        <v>-44284.72040000002</v>
      </c>
      <c r="Y35" s="3"/>
      <c r="Z35" s="7">
        <f t="shared" si="7"/>
        <v>-0.21051082563354812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8">
        <v>3072.14</v>
      </c>
      <c r="E36" s="3"/>
      <c r="F36" s="7">
        <f t="shared" si="0"/>
        <v>0</v>
      </c>
      <c r="G36" s="3"/>
      <c r="H36" s="8">
        <v>3880</v>
      </c>
      <c r="I36" s="3"/>
      <c r="J36" s="7">
        <f t="shared" si="1"/>
        <v>0</v>
      </c>
      <c r="K36" s="3"/>
      <c r="L36" s="8">
        <f t="shared" si="2"/>
        <v>-807.86000000000013</v>
      </c>
      <c r="M36" s="3"/>
      <c r="N36" s="7">
        <f t="shared" si="3"/>
        <v>-0.20821134020618559</v>
      </c>
      <c r="O36" s="12"/>
      <c r="P36" s="8">
        <v>17299.55</v>
      </c>
      <c r="Q36" s="3"/>
      <c r="R36" s="7">
        <f t="shared" si="4"/>
        <v>0</v>
      </c>
      <c r="S36" s="3"/>
      <c r="T36" s="8">
        <v>33950</v>
      </c>
      <c r="U36" s="3"/>
      <c r="V36" s="7">
        <f t="shared" si="5"/>
        <v>0</v>
      </c>
      <c r="W36" s="3"/>
      <c r="X36" s="8">
        <f t="shared" si="6"/>
        <v>-16650.45</v>
      </c>
      <c r="Y36" s="3"/>
      <c r="Z36" s="7">
        <f t="shared" si="7"/>
        <v>-0.49044035346097203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-4896.88</v>
      </c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-4896.88</v>
      </c>
      <c r="M38" s="3"/>
      <c r="N38" s="7">
        <f t="shared" si="3"/>
        <v>0</v>
      </c>
      <c r="O38" s="12"/>
      <c r="P38" s="8">
        <v>3461.74</v>
      </c>
      <c r="Q38" s="3"/>
      <c r="R38" s="7">
        <f t="shared" si="4"/>
        <v>0</v>
      </c>
      <c r="S38" s="3"/>
      <c r="T38" s="8">
        <v>8320</v>
      </c>
      <c r="U38" s="3"/>
      <c r="V38" s="7">
        <f t="shared" si="5"/>
        <v>0</v>
      </c>
      <c r="W38" s="3"/>
      <c r="X38" s="8">
        <f t="shared" si="6"/>
        <v>-4858.26</v>
      </c>
      <c r="Y38" s="3"/>
      <c r="Z38" s="7">
        <f t="shared" si="7"/>
        <v>-0.58392548076923079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/>
      <c r="E39" s="3"/>
      <c r="F39" s="7">
        <f t="shared" si="0"/>
        <v>0</v>
      </c>
      <c r="G39" s="3"/>
      <c r="H39" s="8">
        <v>4956.8</v>
      </c>
      <c r="I39" s="3"/>
      <c r="J39" s="7">
        <f t="shared" si="1"/>
        <v>0</v>
      </c>
      <c r="K39" s="3"/>
      <c r="L39" s="8">
        <f t="shared" si="2"/>
        <v>-4956.8</v>
      </c>
      <c r="M39" s="3"/>
      <c r="N39" s="7">
        <f t="shared" si="3"/>
        <v>-1</v>
      </c>
      <c r="O39" s="12"/>
      <c r="P39" s="8">
        <v>11475.2</v>
      </c>
      <c r="Q39" s="3"/>
      <c r="R39" s="7">
        <f t="shared" si="4"/>
        <v>0</v>
      </c>
      <c r="S39" s="3"/>
      <c r="T39" s="8">
        <v>28992.799999999999</v>
      </c>
      <c r="U39" s="3"/>
      <c r="V39" s="7">
        <f t="shared" si="5"/>
        <v>0</v>
      </c>
      <c r="W39" s="3"/>
      <c r="X39" s="8">
        <f t="shared" si="6"/>
        <v>-17517.599999999999</v>
      </c>
      <c r="Y39" s="3"/>
      <c r="Z39" s="7">
        <f t="shared" si="7"/>
        <v>-0.60420518197621476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173.21</v>
      </c>
      <c r="E42" s="2"/>
      <c r="F42" s="6">
        <f t="shared" si="0"/>
        <v>0</v>
      </c>
      <c r="G42" s="2"/>
      <c r="H42" s="2">
        <f>SUM(OSRRefH22_2x_0)</f>
        <v>817</v>
      </c>
      <c r="I42" s="2"/>
      <c r="J42" s="6">
        <f t="shared" si="1"/>
        <v>0</v>
      </c>
      <c r="K42" s="2"/>
      <c r="L42" s="2">
        <f t="shared" si="2"/>
        <v>-643.79</v>
      </c>
      <c r="M42" s="2"/>
      <c r="N42" s="6">
        <f t="shared" si="3"/>
        <v>-0.78799265605875146</v>
      </c>
      <c r="O42" s="14"/>
      <c r="P42" s="2">
        <f>SUM(OSRRefP22_2x_0)</f>
        <v>3749.95</v>
      </c>
      <c r="Q42" s="2"/>
      <c r="R42" s="6">
        <f t="shared" si="4"/>
        <v>0</v>
      </c>
      <c r="S42" s="2"/>
      <c r="T42" s="2">
        <f>SUM(OSRRefT22_2x_0)</f>
        <v>6136</v>
      </c>
      <c r="U42" s="2"/>
      <c r="V42" s="6">
        <f t="shared" si="5"/>
        <v>0</v>
      </c>
      <c r="W42" s="2"/>
      <c r="X42" s="2">
        <f t="shared" si="6"/>
        <v>-2386.0500000000002</v>
      </c>
      <c r="Y42" s="2"/>
      <c r="Z42" s="6">
        <f t="shared" si="7"/>
        <v>-0.38886082138200784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8">
        <v>173.21</v>
      </c>
      <c r="E43" s="3"/>
      <c r="F43" s="7">
        <f t="shared" si="0"/>
        <v>0</v>
      </c>
      <c r="G43" s="3"/>
      <c r="H43" s="8">
        <v>817</v>
      </c>
      <c r="I43" s="3"/>
      <c r="J43" s="7">
        <f t="shared" si="1"/>
        <v>0</v>
      </c>
      <c r="K43" s="3"/>
      <c r="L43" s="8">
        <f t="shared" si="2"/>
        <v>-643.79</v>
      </c>
      <c r="M43" s="3"/>
      <c r="N43" s="7">
        <f t="shared" si="3"/>
        <v>-0.78799265605875146</v>
      </c>
      <c r="O43" s="12"/>
      <c r="P43" s="8">
        <v>3749.95</v>
      </c>
      <c r="Q43" s="3"/>
      <c r="R43" s="7">
        <f t="shared" si="4"/>
        <v>0</v>
      </c>
      <c r="S43" s="3"/>
      <c r="T43" s="8">
        <v>6136</v>
      </c>
      <c r="U43" s="3"/>
      <c r="V43" s="7">
        <f t="shared" si="5"/>
        <v>0</v>
      </c>
      <c r="W43" s="3"/>
      <c r="X43" s="8">
        <f t="shared" si="6"/>
        <v>-2386.0500000000002</v>
      </c>
      <c r="Y43" s="3"/>
      <c r="Z43" s="7">
        <f t="shared" si="7"/>
        <v>-0.38886082138200784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256.75</v>
      </c>
      <c r="E44" s="2"/>
      <c r="F44" s="6">
        <f t="shared" si="0"/>
        <v>0</v>
      </c>
      <c r="G44" s="2"/>
      <c r="H44" s="2">
        <f>SUM(OSRRefH22_3x_0)</f>
        <v>1000</v>
      </c>
      <c r="I44" s="2"/>
      <c r="J44" s="6">
        <f t="shared" si="1"/>
        <v>0</v>
      </c>
      <c r="K44" s="2"/>
      <c r="L44" s="2">
        <f t="shared" si="2"/>
        <v>-743.25</v>
      </c>
      <c r="M44" s="2"/>
      <c r="N44" s="6">
        <f t="shared" si="3"/>
        <v>-0.74324999999999997</v>
      </c>
      <c r="O44" s="14"/>
      <c r="P44" s="2">
        <f>SUM(OSRRefP22_3x_0)</f>
        <v>9535.83</v>
      </c>
      <c r="Q44" s="2"/>
      <c r="R44" s="6">
        <f t="shared" si="4"/>
        <v>0</v>
      </c>
      <c r="S44" s="2"/>
      <c r="T44" s="2">
        <f>SUM(OSRRefT22_3x_0)</f>
        <v>29000</v>
      </c>
      <c r="U44" s="2"/>
      <c r="V44" s="6">
        <f t="shared" si="5"/>
        <v>0</v>
      </c>
      <c r="W44" s="2"/>
      <c r="X44" s="2">
        <f t="shared" si="6"/>
        <v>-19464.169999999998</v>
      </c>
      <c r="Y44" s="2"/>
      <c r="Z44" s="6">
        <f t="shared" si="7"/>
        <v>-0.67117827586206891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8">
        <v>256.75</v>
      </c>
      <c r="E45" s="3"/>
      <c r="F45" s="7">
        <f t="shared" si="0"/>
        <v>0</v>
      </c>
      <c r="G45" s="3"/>
      <c r="H45" s="8">
        <v>1000</v>
      </c>
      <c r="I45" s="3"/>
      <c r="J45" s="7">
        <f t="shared" si="1"/>
        <v>0</v>
      </c>
      <c r="K45" s="3"/>
      <c r="L45" s="8">
        <f t="shared" si="2"/>
        <v>-743.25</v>
      </c>
      <c r="M45" s="3"/>
      <c r="N45" s="7">
        <f t="shared" si="3"/>
        <v>-0.74324999999999997</v>
      </c>
      <c r="O45" s="12"/>
      <c r="P45" s="8">
        <v>9535.83</v>
      </c>
      <c r="Q45" s="3"/>
      <c r="R45" s="7">
        <f t="shared" si="4"/>
        <v>0</v>
      </c>
      <c r="S45" s="3"/>
      <c r="T45" s="8">
        <v>29000</v>
      </c>
      <c r="U45" s="3"/>
      <c r="V45" s="7">
        <f t="shared" si="5"/>
        <v>0</v>
      </c>
      <c r="W45" s="3"/>
      <c r="X45" s="8">
        <f t="shared" si="6"/>
        <v>-19464.169999999998</v>
      </c>
      <c r="Y45" s="3"/>
      <c r="Z45" s="7">
        <f t="shared" si="7"/>
        <v>-0.67117827586206891</v>
      </c>
    </row>
    <row r="46" spans="1:26" s="69" customFormat="1" ht="15" customHeight="1" outlineLevel="1" collapsed="1" x14ac:dyDescent="0.3">
      <c r="A46" s="25"/>
      <c r="B46" s="14" t="str">
        <f>CONCATENATE("     ","Board                                             ")</f>
        <v xml:space="preserve">     Board                                             </v>
      </c>
      <c r="C46" s="14"/>
      <c r="D46" s="2">
        <f>SUM(OSRRefD22_4x_0)</f>
        <v>1438.2</v>
      </c>
      <c r="E46" s="2"/>
      <c r="F46" s="6">
        <f t="shared" si="0"/>
        <v>0</v>
      </c>
      <c r="G46" s="2"/>
      <c r="H46" s="2">
        <f>SUM(OSRRefH22_4x_0)</f>
        <v>1508</v>
      </c>
      <c r="I46" s="2"/>
      <c r="J46" s="6">
        <f t="shared" si="1"/>
        <v>0</v>
      </c>
      <c r="K46" s="2"/>
      <c r="L46" s="2">
        <f t="shared" si="2"/>
        <v>-69.799999999999955</v>
      </c>
      <c r="M46" s="2"/>
      <c r="N46" s="6">
        <f t="shared" si="3"/>
        <v>-4.6286472148541084E-2</v>
      </c>
      <c r="O46" s="14"/>
      <c r="P46" s="2">
        <f>SUM(OSRRefP22_4x_0)</f>
        <v>10085.74</v>
      </c>
      <c r="Q46" s="2"/>
      <c r="R46" s="6">
        <f t="shared" si="4"/>
        <v>0</v>
      </c>
      <c r="S46" s="2"/>
      <c r="T46" s="2">
        <f>SUM(OSRRefT22_4x_0)</f>
        <v>13564</v>
      </c>
      <c r="U46" s="2"/>
      <c r="V46" s="6">
        <f t="shared" si="5"/>
        <v>0</v>
      </c>
      <c r="W46" s="2"/>
      <c r="X46" s="2">
        <f t="shared" si="6"/>
        <v>-3478.26</v>
      </c>
      <c r="Y46" s="2"/>
      <c r="Z46" s="6">
        <f t="shared" si="7"/>
        <v>-0.25643320554408733</v>
      </c>
    </row>
    <row r="47" spans="1:26" s="70" customFormat="1" ht="15" hidden="1" customHeight="1" outlineLevel="2" x14ac:dyDescent="0.3">
      <c r="A47" s="26"/>
      <c r="B47" s="12" t="str">
        <f>CONCATENATE("          ","6397"," - ","BOARD EXPENSES")</f>
        <v xml:space="preserve">          6397 - BOARD EXPENSES</v>
      </c>
      <c r="C47" s="12"/>
      <c r="D47" s="8">
        <v>1438.2</v>
      </c>
      <c r="E47" s="3"/>
      <c r="F47" s="7">
        <f t="shared" si="0"/>
        <v>0</v>
      </c>
      <c r="G47" s="3"/>
      <c r="H47" s="8">
        <v>1508</v>
      </c>
      <c r="I47" s="3"/>
      <c r="J47" s="7">
        <f t="shared" si="1"/>
        <v>0</v>
      </c>
      <c r="K47" s="3"/>
      <c r="L47" s="8">
        <f t="shared" si="2"/>
        <v>-69.799999999999955</v>
      </c>
      <c r="M47" s="3"/>
      <c r="N47" s="7">
        <f t="shared" si="3"/>
        <v>-4.6286472148541084E-2</v>
      </c>
      <c r="O47" s="12"/>
      <c r="P47" s="8">
        <v>10085.74</v>
      </c>
      <c r="Q47" s="3"/>
      <c r="R47" s="7">
        <f t="shared" si="4"/>
        <v>0</v>
      </c>
      <c r="S47" s="3"/>
      <c r="T47" s="8">
        <v>13564</v>
      </c>
      <c r="U47" s="3"/>
      <c r="V47" s="7">
        <f t="shared" si="5"/>
        <v>0</v>
      </c>
      <c r="W47" s="3"/>
      <c r="X47" s="8">
        <f t="shared" si="6"/>
        <v>-3478.26</v>
      </c>
      <c r="Y47" s="3"/>
      <c r="Z47" s="7">
        <f t="shared" si="7"/>
        <v>-0.25643320554408733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4014.6</v>
      </c>
      <c r="E48" s="2"/>
      <c r="F48" s="6">
        <f t="shared" si="0"/>
        <v>0</v>
      </c>
      <c r="G48" s="2"/>
      <c r="H48" s="2">
        <f>SUM(OSRRefH22_5x_0)</f>
        <v>3973</v>
      </c>
      <c r="I48" s="2"/>
      <c r="J48" s="6">
        <f t="shared" si="1"/>
        <v>0</v>
      </c>
      <c r="K48" s="2"/>
      <c r="L48" s="2">
        <f t="shared" si="2"/>
        <v>41.599999999999909</v>
      </c>
      <c r="M48" s="2"/>
      <c r="N48" s="6">
        <f t="shared" si="3"/>
        <v>1.0470677070223989E-2</v>
      </c>
      <c r="O48" s="14"/>
      <c r="P48" s="2">
        <f>SUM(OSRRefP22_5x_0)</f>
        <v>40989.519999999997</v>
      </c>
      <c r="Q48" s="2"/>
      <c r="R48" s="6">
        <f t="shared" si="4"/>
        <v>0</v>
      </c>
      <c r="S48" s="2"/>
      <c r="T48" s="2">
        <f>SUM(OSRRefT22_5x_0)</f>
        <v>40655</v>
      </c>
      <c r="U48" s="2"/>
      <c r="V48" s="6">
        <f t="shared" si="5"/>
        <v>0</v>
      </c>
      <c r="W48" s="2"/>
      <c r="X48" s="2">
        <f t="shared" si="6"/>
        <v>334.5199999999968</v>
      </c>
      <c r="Y48" s="2"/>
      <c r="Z48" s="6">
        <f t="shared" si="7"/>
        <v>8.2282622063706012E-3</v>
      </c>
    </row>
    <row r="49" spans="1:26" s="70" customFormat="1" ht="15" hidden="1" customHeight="1" outlineLevel="2" x14ac:dyDescent="0.3">
      <c r="A49" s="26"/>
      <c r="B49" s="12" t="str">
        <f>CONCATENATE("          ","6322"," - ","EQUIPMENT DEPRECIATION EXPENSE")</f>
        <v xml:space="preserve">          6322 - EQUIPMENT DEPRECIATION EXPENSE</v>
      </c>
      <c r="C49" s="12"/>
      <c r="D49" s="8">
        <v>4014.6</v>
      </c>
      <c r="E49" s="3"/>
      <c r="F49" s="7">
        <f t="shared" si="0"/>
        <v>0</v>
      </c>
      <c r="G49" s="3"/>
      <c r="H49" s="8">
        <v>3473</v>
      </c>
      <c r="I49" s="3"/>
      <c r="J49" s="7">
        <f t="shared" si="1"/>
        <v>0</v>
      </c>
      <c r="K49" s="3"/>
      <c r="L49" s="8">
        <f t="shared" si="2"/>
        <v>541.59999999999991</v>
      </c>
      <c r="M49" s="3"/>
      <c r="N49" s="7">
        <f t="shared" si="3"/>
        <v>0.15594586812553984</v>
      </c>
      <c r="O49" s="12"/>
      <c r="P49" s="8">
        <v>40989.519999999997</v>
      </c>
      <c r="Q49" s="3"/>
      <c r="R49" s="7">
        <f t="shared" si="4"/>
        <v>0</v>
      </c>
      <c r="S49" s="3"/>
      <c r="T49" s="8">
        <v>36655</v>
      </c>
      <c r="U49" s="3"/>
      <c r="V49" s="7">
        <f t="shared" si="5"/>
        <v>0</v>
      </c>
      <c r="W49" s="3"/>
      <c r="X49" s="8">
        <f t="shared" si="6"/>
        <v>4334.5199999999968</v>
      </c>
      <c r="Y49" s="3"/>
      <c r="Z49" s="7">
        <f t="shared" si="7"/>
        <v>0.11825180739326141</v>
      </c>
    </row>
    <row r="50" spans="1:26" s="70" customFormat="1" ht="15" hidden="1" customHeight="1" outlineLevel="2" x14ac:dyDescent="0.3">
      <c r="A50" s="26"/>
      <c r="B50" s="12" t="str">
        <f>CONCATENATE("          ","6324"," - ","FURNITURE + FIXT DEPRECIATION")</f>
        <v xml:space="preserve">          6324 - FURNITURE + FIXT DEPRECIATION</v>
      </c>
      <c r="C50" s="12"/>
      <c r="D50" s="8"/>
      <c r="E50" s="3"/>
      <c r="F50" s="7">
        <f t="shared" ref="F50:F81" si="8">IF(D$12=0,0,D50/D$12)</f>
        <v>0</v>
      </c>
      <c r="G50" s="3"/>
      <c r="H50" s="8">
        <v>500</v>
      </c>
      <c r="I50" s="3"/>
      <c r="J50" s="7">
        <f t="shared" ref="J50:J81" si="9">IF(H$12=0,0,H50/H$12)</f>
        <v>0</v>
      </c>
      <c r="K50" s="3"/>
      <c r="L50" s="8">
        <f t="shared" ref="L50:L81" si="10">+D50-H50</f>
        <v>-500</v>
      </c>
      <c r="M50" s="3"/>
      <c r="N50" s="7">
        <f t="shared" ref="N50:N81" si="11">IF(H50=0,0,L50/H50)</f>
        <v>-1</v>
      </c>
      <c r="O50" s="12"/>
      <c r="P50" s="8"/>
      <c r="Q50" s="3"/>
      <c r="R50" s="7">
        <f t="shared" ref="R50:R81" si="12">IF(P$12=0,0,P50/P$12)</f>
        <v>0</v>
      </c>
      <c r="S50" s="3"/>
      <c r="T50" s="8">
        <v>4000</v>
      </c>
      <c r="U50" s="3"/>
      <c r="V50" s="7">
        <f t="shared" ref="V50:V81" si="13">IF(T$12=0,0,T50/T$12)</f>
        <v>0</v>
      </c>
      <c r="W50" s="3"/>
      <c r="X50" s="8">
        <f t="shared" ref="X50:X81" si="14">+P50-T50</f>
        <v>-4000</v>
      </c>
      <c r="Y50" s="3"/>
      <c r="Z50" s="7">
        <f t="shared" ref="Z50:Z81" si="15">IF(T50=0,0,X50/T50)</f>
        <v>-1</v>
      </c>
    </row>
    <row r="51" spans="1:26" s="69" customFormat="1" ht="15" customHeight="1" outlineLevel="1" collapsed="1" x14ac:dyDescent="0.3">
      <c r="A51" s="25"/>
      <c r="B51" s="14" t="str">
        <f>CONCATENATE("     ","Donations                                         ")</f>
        <v xml:space="preserve">     Donations                                         </v>
      </c>
      <c r="C51" s="14"/>
      <c r="D51" s="2">
        <f>SUM(OSRRefD22_6x_0)</f>
        <v>0</v>
      </c>
      <c r="E51" s="2"/>
      <c r="F51" s="6">
        <f t="shared" si="8"/>
        <v>0</v>
      </c>
      <c r="G51" s="2"/>
      <c r="H51" s="2">
        <f>SUM(OSRRefH22_6x_0)</f>
        <v>500</v>
      </c>
      <c r="I51" s="2"/>
      <c r="J51" s="6">
        <f t="shared" si="9"/>
        <v>0</v>
      </c>
      <c r="K51" s="2"/>
      <c r="L51" s="2">
        <f t="shared" si="10"/>
        <v>-500</v>
      </c>
      <c r="M51" s="2"/>
      <c r="N51" s="6">
        <f t="shared" si="11"/>
        <v>-1</v>
      </c>
      <c r="O51" s="14"/>
      <c r="P51" s="2">
        <f>SUM(OSRRefP22_6x_0)</f>
        <v>25300</v>
      </c>
      <c r="Q51" s="2"/>
      <c r="R51" s="6">
        <f t="shared" si="12"/>
        <v>0</v>
      </c>
      <c r="S51" s="2"/>
      <c r="T51" s="2">
        <f>SUM(OSRRefT22_6x_0)</f>
        <v>52950</v>
      </c>
      <c r="U51" s="2"/>
      <c r="V51" s="6">
        <f t="shared" si="13"/>
        <v>0</v>
      </c>
      <c r="W51" s="2"/>
      <c r="X51" s="2">
        <f t="shared" si="14"/>
        <v>-27650</v>
      </c>
      <c r="Y51" s="2"/>
      <c r="Z51" s="6">
        <f t="shared" si="15"/>
        <v>-0.52219074598677995</v>
      </c>
    </row>
    <row r="52" spans="1:26" s="70" customFormat="1" ht="15" hidden="1" customHeight="1" outlineLevel="2" x14ac:dyDescent="0.3">
      <c r="A52" s="26"/>
      <c r="B52" s="12" t="str">
        <f>CONCATENATE("          ","6399"," - ","DONATION-ON CAMPUS")</f>
        <v xml:space="preserve">          6399 - DONATION-ON CAMPUS</v>
      </c>
      <c r="C52" s="12"/>
      <c r="D52" s="8"/>
      <c r="E52" s="3"/>
      <c r="F52" s="7">
        <f t="shared" si="8"/>
        <v>0</v>
      </c>
      <c r="G52" s="3"/>
      <c r="H52" s="8">
        <v>500</v>
      </c>
      <c r="I52" s="3"/>
      <c r="J52" s="7">
        <f t="shared" si="9"/>
        <v>0</v>
      </c>
      <c r="K52" s="3"/>
      <c r="L52" s="8">
        <f t="shared" si="10"/>
        <v>-500</v>
      </c>
      <c r="M52" s="3"/>
      <c r="N52" s="7">
        <f t="shared" si="11"/>
        <v>-1</v>
      </c>
      <c r="O52" s="12"/>
      <c r="P52" s="8">
        <v>25300</v>
      </c>
      <c r="Q52" s="3"/>
      <c r="R52" s="7">
        <f t="shared" si="12"/>
        <v>0</v>
      </c>
      <c r="S52" s="3"/>
      <c r="T52" s="8">
        <v>52950</v>
      </c>
      <c r="U52" s="3"/>
      <c r="V52" s="7">
        <f t="shared" si="13"/>
        <v>0</v>
      </c>
      <c r="W52" s="3"/>
      <c r="X52" s="8">
        <f t="shared" si="14"/>
        <v>-27650</v>
      </c>
      <c r="Y52" s="3"/>
      <c r="Z52" s="7">
        <f t="shared" si="15"/>
        <v>-0.52219074598677995</v>
      </c>
    </row>
    <row r="53" spans="1:26" s="69" customFormat="1" ht="15" customHeight="1" outlineLevel="1" collapsed="1" x14ac:dyDescent="0.3">
      <c r="A53" s="25"/>
      <c r="B53" s="14" t="str">
        <f>CONCATENATE("     ","Employees' Appreciation                           ")</f>
        <v xml:space="preserve">     Employees' Appreciation                           </v>
      </c>
      <c r="C53" s="14"/>
      <c r="D53" s="2">
        <f>SUM(OSRRefD22_7x_0)</f>
        <v>0</v>
      </c>
      <c r="E53" s="2"/>
      <c r="F53" s="6">
        <f t="shared" si="8"/>
        <v>0</v>
      </c>
      <c r="G53" s="2"/>
      <c r="H53" s="2">
        <f>SUM(OSRRefH22_7x_0)</f>
        <v>250</v>
      </c>
      <c r="I53" s="2"/>
      <c r="J53" s="6">
        <f t="shared" si="9"/>
        <v>0</v>
      </c>
      <c r="K53" s="2"/>
      <c r="L53" s="2">
        <f t="shared" si="10"/>
        <v>-250</v>
      </c>
      <c r="M53" s="2"/>
      <c r="N53" s="6">
        <f t="shared" si="11"/>
        <v>-1</v>
      </c>
      <c r="O53" s="14"/>
      <c r="P53" s="2">
        <f>SUM(OSRRefP22_7x_0)</f>
        <v>643.6</v>
      </c>
      <c r="Q53" s="2"/>
      <c r="R53" s="6">
        <f t="shared" si="12"/>
        <v>0</v>
      </c>
      <c r="S53" s="2"/>
      <c r="T53" s="2">
        <f>SUM(OSRRefT22_7x_0)</f>
        <v>5500</v>
      </c>
      <c r="U53" s="2"/>
      <c r="V53" s="6">
        <f t="shared" si="13"/>
        <v>0</v>
      </c>
      <c r="W53" s="2"/>
      <c r="X53" s="2">
        <f t="shared" si="14"/>
        <v>-4856.3999999999996</v>
      </c>
      <c r="Y53" s="2"/>
      <c r="Z53" s="6">
        <f t="shared" si="15"/>
        <v>-0.88298181818181809</v>
      </c>
    </row>
    <row r="54" spans="1:26" s="70" customFormat="1" ht="15" hidden="1" customHeight="1" outlineLevel="2" x14ac:dyDescent="0.3">
      <c r="A54" s="26"/>
      <c r="B54" s="12" t="str">
        <f>CONCATENATE("          ","6277"," - ","EMPLOYEE APPRECIATION")</f>
        <v xml:space="preserve">          6277 - EMPLOYEE APPRECIATION</v>
      </c>
      <c r="C54" s="12"/>
      <c r="D54" s="8"/>
      <c r="E54" s="3"/>
      <c r="F54" s="7">
        <f t="shared" si="8"/>
        <v>0</v>
      </c>
      <c r="G54" s="3"/>
      <c r="H54" s="8">
        <v>250</v>
      </c>
      <c r="I54" s="3"/>
      <c r="J54" s="7">
        <f t="shared" si="9"/>
        <v>0</v>
      </c>
      <c r="K54" s="3"/>
      <c r="L54" s="8">
        <f t="shared" si="10"/>
        <v>-250</v>
      </c>
      <c r="M54" s="3"/>
      <c r="N54" s="7">
        <f t="shared" si="11"/>
        <v>-1</v>
      </c>
      <c r="O54" s="12"/>
      <c r="P54" s="8">
        <v>643.6</v>
      </c>
      <c r="Q54" s="3"/>
      <c r="R54" s="7">
        <f t="shared" si="12"/>
        <v>0</v>
      </c>
      <c r="S54" s="3"/>
      <c r="T54" s="8">
        <v>5500</v>
      </c>
      <c r="U54" s="3"/>
      <c r="V54" s="7">
        <f t="shared" si="13"/>
        <v>0</v>
      </c>
      <c r="W54" s="3"/>
      <c r="X54" s="8">
        <f t="shared" si="14"/>
        <v>-4856.3999999999996</v>
      </c>
      <c r="Y54" s="3"/>
      <c r="Z54" s="7">
        <f t="shared" si="15"/>
        <v>-0.88298181818181809</v>
      </c>
    </row>
    <row r="55" spans="1:26" s="69" customFormat="1" ht="15" customHeight="1" outlineLevel="1" collapsed="1" x14ac:dyDescent="0.3">
      <c r="A55" s="25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SUM(OSRRefD22_8x_0)</f>
        <v>208.97</v>
      </c>
      <c r="E55" s="2"/>
      <c r="F55" s="6">
        <f t="shared" si="8"/>
        <v>0</v>
      </c>
      <c r="G55" s="2"/>
      <c r="H55" s="2">
        <f>SUM(OSRRefH22_8x_0)</f>
        <v>284</v>
      </c>
      <c r="I55" s="2"/>
      <c r="J55" s="6">
        <f t="shared" si="9"/>
        <v>0</v>
      </c>
      <c r="K55" s="2"/>
      <c r="L55" s="2">
        <f t="shared" si="10"/>
        <v>-75.03</v>
      </c>
      <c r="M55" s="2"/>
      <c r="N55" s="6">
        <f t="shared" si="11"/>
        <v>-0.26419014084507042</v>
      </c>
      <c r="O55" s="14"/>
      <c r="P55" s="2">
        <f>SUM(OSRRefP22_8x_0)</f>
        <v>1671.76</v>
      </c>
      <c r="Q55" s="2"/>
      <c r="R55" s="6">
        <f t="shared" si="12"/>
        <v>0</v>
      </c>
      <c r="S55" s="2"/>
      <c r="T55" s="2">
        <f>SUM(OSRRefT22_8x_0)</f>
        <v>2272</v>
      </c>
      <c r="U55" s="2"/>
      <c r="V55" s="6">
        <f t="shared" si="13"/>
        <v>0</v>
      </c>
      <c r="W55" s="2"/>
      <c r="X55" s="2">
        <f t="shared" si="14"/>
        <v>-600.24</v>
      </c>
      <c r="Y55" s="2"/>
      <c r="Z55" s="6">
        <f t="shared" si="15"/>
        <v>-0.26419014084507042</v>
      </c>
    </row>
    <row r="56" spans="1:26" s="70" customFormat="1" ht="15" hidden="1" customHeight="1" outlineLevel="2" x14ac:dyDescent="0.3">
      <c r="A56" s="26"/>
      <c r="B56" s="12" t="str">
        <f>CONCATENATE("          ","6351"," - ","EQUIPMENT RENTAL")</f>
        <v xml:space="preserve">          6351 - EQUIPMENT RENTAL</v>
      </c>
      <c r="C56" s="12"/>
      <c r="D56" s="8">
        <v>208.97</v>
      </c>
      <c r="E56" s="3"/>
      <c r="F56" s="7">
        <f t="shared" si="8"/>
        <v>0</v>
      </c>
      <c r="G56" s="3"/>
      <c r="H56" s="8">
        <v>284</v>
      </c>
      <c r="I56" s="3"/>
      <c r="J56" s="7">
        <f t="shared" si="9"/>
        <v>0</v>
      </c>
      <c r="K56" s="3"/>
      <c r="L56" s="8">
        <f t="shared" si="10"/>
        <v>-75.03</v>
      </c>
      <c r="M56" s="3"/>
      <c r="N56" s="7">
        <f t="shared" si="11"/>
        <v>-0.26419014084507042</v>
      </c>
      <c r="O56" s="12"/>
      <c r="P56" s="8">
        <v>1671.76</v>
      </c>
      <c r="Q56" s="3"/>
      <c r="R56" s="7">
        <f t="shared" si="12"/>
        <v>0</v>
      </c>
      <c r="S56" s="3"/>
      <c r="T56" s="8">
        <v>2272</v>
      </c>
      <c r="U56" s="3"/>
      <c r="V56" s="7">
        <f t="shared" si="13"/>
        <v>0</v>
      </c>
      <c r="W56" s="3"/>
      <c r="X56" s="8">
        <f t="shared" si="14"/>
        <v>-600.24</v>
      </c>
      <c r="Y56" s="3"/>
      <c r="Z56" s="7">
        <f t="shared" si="15"/>
        <v>-0.26419014084507042</v>
      </c>
    </row>
    <row r="57" spans="1:26" s="69" customFormat="1" ht="15" customHeight="1" outlineLevel="1" collapsed="1" x14ac:dyDescent="0.3">
      <c r="A57" s="25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SUM(OSRRefD22_9x_0)</f>
        <v>166.9</v>
      </c>
      <c r="E57" s="2"/>
      <c r="F57" s="6">
        <f t="shared" si="8"/>
        <v>0</v>
      </c>
      <c r="G57" s="2"/>
      <c r="H57" s="2">
        <f>SUM(OSRRefH22_9x_0)</f>
        <v>210</v>
      </c>
      <c r="I57" s="2"/>
      <c r="J57" s="6">
        <f t="shared" si="9"/>
        <v>0</v>
      </c>
      <c r="K57" s="2"/>
      <c r="L57" s="2">
        <f t="shared" si="10"/>
        <v>-43.099999999999994</v>
      </c>
      <c r="M57" s="2"/>
      <c r="N57" s="6">
        <f t="shared" si="11"/>
        <v>-0.20523809523809522</v>
      </c>
      <c r="O57" s="14"/>
      <c r="P57" s="2">
        <f>SUM(OSRRefP22_9x_0)</f>
        <v>1310.71</v>
      </c>
      <c r="Q57" s="2"/>
      <c r="R57" s="6">
        <f t="shared" si="12"/>
        <v>0</v>
      </c>
      <c r="S57" s="2"/>
      <c r="T57" s="2">
        <f>SUM(OSRRefT22_9x_0)</f>
        <v>1715</v>
      </c>
      <c r="U57" s="2"/>
      <c r="V57" s="6">
        <f t="shared" si="13"/>
        <v>0</v>
      </c>
      <c r="W57" s="2"/>
      <c r="X57" s="2">
        <f t="shared" si="14"/>
        <v>-404.28999999999996</v>
      </c>
      <c r="Y57" s="2"/>
      <c r="Z57" s="6">
        <f t="shared" si="15"/>
        <v>-0.23573760932944604</v>
      </c>
    </row>
    <row r="58" spans="1:26" s="70" customFormat="1" ht="15" hidden="1" customHeight="1" outlineLevel="2" x14ac:dyDescent="0.3">
      <c r="A58" s="26"/>
      <c r="B58" s="12" t="str">
        <f>CONCATENATE("          ","6307"," - ","POSTAGE")</f>
        <v xml:space="preserve">          6307 - POSTAGE</v>
      </c>
      <c r="C58" s="12"/>
      <c r="D58" s="8">
        <v>166.9</v>
      </c>
      <c r="E58" s="3"/>
      <c r="F58" s="7">
        <f t="shared" si="8"/>
        <v>0</v>
      </c>
      <c r="G58" s="3"/>
      <c r="H58" s="8">
        <v>210</v>
      </c>
      <c r="I58" s="3"/>
      <c r="J58" s="7">
        <f t="shared" si="9"/>
        <v>0</v>
      </c>
      <c r="K58" s="3"/>
      <c r="L58" s="8">
        <f t="shared" si="10"/>
        <v>-43.099999999999994</v>
      </c>
      <c r="M58" s="3"/>
      <c r="N58" s="7">
        <f t="shared" si="11"/>
        <v>-0.20523809523809522</v>
      </c>
      <c r="O58" s="12"/>
      <c r="P58" s="8">
        <v>1310.71</v>
      </c>
      <c r="Q58" s="3"/>
      <c r="R58" s="7">
        <f t="shared" si="12"/>
        <v>0</v>
      </c>
      <c r="S58" s="3"/>
      <c r="T58" s="8">
        <v>1715</v>
      </c>
      <c r="U58" s="3"/>
      <c r="V58" s="7">
        <f t="shared" si="13"/>
        <v>0</v>
      </c>
      <c r="W58" s="3"/>
      <c r="X58" s="8">
        <f t="shared" si="14"/>
        <v>-404.28999999999996</v>
      </c>
      <c r="Y58" s="3"/>
      <c r="Z58" s="7">
        <f t="shared" si="15"/>
        <v>-0.23573760932944604</v>
      </c>
    </row>
    <row r="59" spans="1:26" s="69" customFormat="1" ht="15" customHeight="1" outlineLevel="1" collapsed="1" x14ac:dyDescent="0.3">
      <c r="A59" s="25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SUM(OSRRefD22_10x_0)</f>
        <v>55.5</v>
      </c>
      <c r="E59" s="2"/>
      <c r="F59" s="6">
        <f t="shared" si="8"/>
        <v>0</v>
      </c>
      <c r="G59" s="2"/>
      <c r="H59" s="2">
        <f>SUM(OSRRefH22_10x_0)</f>
        <v>0</v>
      </c>
      <c r="I59" s="2"/>
      <c r="J59" s="6">
        <f t="shared" si="9"/>
        <v>0</v>
      </c>
      <c r="K59" s="2"/>
      <c r="L59" s="2">
        <f t="shared" si="10"/>
        <v>55.5</v>
      </c>
      <c r="M59" s="2"/>
      <c r="N59" s="6">
        <f t="shared" si="11"/>
        <v>0</v>
      </c>
      <c r="O59" s="14"/>
      <c r="P59" s="2">
        <f>SUM(OSRRefP22_10x_0)</f>
        <v>1882.68</v>
      </c>
      <c r="Q59" s="2"/>
      <c r="R59" s="6">
        <f t="shared" si="12"/>
        <v>0</v>
      </c>
      <c r="S59" s="2"/>
      <c r="T59" s="2">
        <f>SUM(OSRRefT22_10x_0)</f>
        <v>-600</v>
      </c>
      <c r="U59" s="2"/>
      <c r="V59" s="6">
        <f t="shared" si="13"/>
        <v>0</v>
      </c>
      <c r="W59" s="2"/>
      <c r="X59" s="2">
        <f t="shared" si="14"/>
        <v>2482.6800000000003</v>
      </c>
      <c r="Y59" s="2"/>
      <c r="Z59" s="6">
        <f t="shared" si="15"/>
        <v>-4.1378000000000004</v>
      </c>
    </row>
    <row r="60" spans="1:26" s="70" customFormat="1" ht="15" hidden="1" customHeight="1" outlineLevel="2" x14ac:dyDescent="0.3">
      <c r="A60" s="26"/>
      <c r="B60" s="12" t="str">
        <f>CONCATENATE("          ","6279"," - ","GENERAL EXPENSE")</f>
        <v xml:space="preserve">          6279 - GENERAL EXPENSE</v>
      </c>
      <c r="C60" s="12"/>
      <c r="D60" s="8">
        <v>55.5</v>
      </c>
      <c r="E60" s="3"/>
      <c r="F60" s="7">
        <f t="shared" si="8"/>
        <v>0</v>
      </c>
      <c r="G60" s="3"/>
      <c r="H60" s="8">
        <v>0</v>
      </c>
      <c r="I60" s="3"/>
      <c r="J60" s="7">
        <f t="shared" si="9"/>
        <v>0</v>
      </c>
      <c r="K60" s="3"/>
      <c r="L60" s="8">
        <f t="shared" si="10"/>
        <v>55.5</v>
      </c>
      <c r="M60" s="3"/>
      <c r="N60" s="7">
        <f t="shared" si="11"/>
        <v>0</v>
      </c>
      <c r="O60" s="12"/>
      <c r="P60" s="8">
        <v>1882.68</v>
      </c>
      <c r="Q60" s="3"/>
      <c r="R60" s="7">
        <f t="shared" si="12"/>
        <v>0</v>
      </c>
      <c r="S60" s="3"/>
      <c r="T60" s="8">
        <v>-600</v>
      </c>
      <c r="U60" s="3"/>
      <c r="V60" s="7">
        <f t="shared" si="13"/>
        <v>0</v>
      </c>
      <c r="W60" s="3"/>
      <c r="X60" s="8">
        <f t="shared" si="14"/>
        <v>2482.6800000000003</v>
      </c>
      <c r="Y60" s="3"/>
      <c r="Z60" s="7">
        <f t="shared" si="15"/>
        <v>-4.1378000000000004</v>
      </c>
    </row>
    <row r="61" spans="1:26" s="69" customFormat="1" ht="15" customHeight="1" outlineLevel="1" collapsed="1" x14ac:dyDescent="0.3">
      <c r="A61" s="25"/>
      <c r="B61" s="14" t="str">
        <f>CONCATENATE("     ","Insurance                                         ")</f>
        <v xml:space="preserve">     Insurance                                         </v>
      </c>
      <c r="C61" s="14"/>
      <c r="D61" s="2">
        <f>SUM(OSRRefD22_11x_0)</f>
        <v>535.05999999999995</v>
      </c>
      <c r="E61" s="2"/>
      <c r="F61" s="6">
        <f t="shared" si="8"/>
        <v>0</v>
      </c>
      <c r="G61" s="2"/>
      <c r="H61" s="2">
        <f>SUM(OSRRefH22_11x_0)</f>
        <v>530</v>
      </c>
      <c r="I61" s="2"/>
      <c r="J61" s="6">
        <f t="shared" si="9"/>
        <v>0</v>
      </c>
      <c r="K61" s="2"/>
      <c r="L61" s="2">
        <f t="shared" si="10"/>
        <v>5.0599999999999454</v>
      </c>
      <c r="M61" s="2"/>
      <c r="N61" s="6">
        <f t="shared" si="11"/>
        <v>9.5471698113206525E-3</v>
      </c>
      <c r="O61" s="14"/>
      <c r="P61" s="2">
        <f>SUM(OSRRefP22_11x_0)</f>
        <v>4280.4799999999996</v>
      </c>
      <c r="Q61" s="2"/>
      <c r="R61" s="6">
        <f t="shared" si="12"/>
        <v>0</v>
      </c>
      <c r="S61" s="2"/>
      <c r="T61" s="2">
        <f>SUM(OSRRefT22_11x_0)</f>
        <v>4240</v>
      </c>
      <c r="U61" s="2"/>
      <c r="V61" s="6">
        <f t="shared" si="13"/>
        <v>0</v>
      </c>
      <c r="W61" s="2"/>
      <c r="X61" s="2">
        <f t="shared" si="14"/>
        <v>40.479999999999563</v>
      </c>
      <c r="Y61" s="2"/>
      <c r="Z61" s="6">
        <f t="shared" si="15"/>
        <v>9.5471698113206525E-3</v>
      </c>
    </row>
    <row r="62" spans="1:26" s="70" customFormat="1" ht="15" hidden="1" customHeight="1" outlineLevel="2" x14ac:dyDescent="0.3">
      <c r="A62" s="26"/>
      <c r="B62" s="12" t="str">
        <f>CONCATENATE("          ","6314"," - ","LIABILITY INSURANCE")</f>
        <v xml:space="preserve">          6314 - LIABILITY INSURANCE</v>
      </c>
      <c r="C62" s="12"/>
      <c r="D62" s="8">
        <v>535.05999999999995</v>
      </c>
      <c r="E62" s="3"/>
      <c r="F62" s="7">
        <f t="shared" si="8"/>
        <v>0</v>
      </c>
      <c r="G62" s="3"/>
      <c r="H62" s="8">
        <v>530</v>
      </c>
      <c r="I62" s="3"/>
      <c r="J62" s="7">
        <f t="shared" si="9"/>
        <v>0</v>
      </c>
      <c r="K62" s="3"/>
      <c r="L62" s="8">
        <f t="shared" si="10"/>
        <v>5.0599999999999454</v>
      </c>
      <c r="M62" s="3"/>
      <c r="N62" s="7">
        <f t="shared" si="11"/>
        <v>9.5471698113206525E-3</v>
      </c>
      <c r="O62" s="12"/>
      <c r="P62" s="8">
        <v>4280.4799999999996</v>
      </c>
      <c r="Q62" s="3"/>
      <c r="R62" s="7">
        <f t="shared" si="12"/>
        <v>0</v>
      </c>
      <c r="S62" s="3"/>
      <c r="T62" s="8">
        <v>4240</v>
      </c>
      <c r="U62" s="3"/>
      <c r="V62" s="7">
        <f t="shared" si="13"/>
        <v>0</v>
      </c>
      <c r="W62" s="3"/>
      <c r="X62" s="8">
        <f t="shared" si="14"/>
        <v>40.479999999999563</v>
      </c>
      <c r="Y62" s="3"/>
      <c r="Z62" s="7">
        <f t="shared" si="15"/>
        <v>9.5471698113206525E-3</v>
      </c>
    </row>
    <row r="63" spans="1:26" s="69" customFormat="1" ht="15" customHeight="1" outlineLevel="1" collapsed="1" x14ac:dyDescent="0.3">
      <c r="A63" s="25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SUM(OSRRefD22_12x_0)</f>
        <v>0</v>
      </c>
      <c r="E63" s="2"/>
      <c r="F63" s="6">
        <f t="shared" si="8"/>
        <v>0</v>
      </c>
      <c r="G63" s="2"/>
      <c r="H63" s="2">
        <f>SUM(OSRRefH22_12x_0)</f>
        <v>1666</v>
      </c>
      <c r="I63" s="2"/>
      <c r="J63" s="6">
        <f t="shared" si="9"/>
        <v>0</v>
      </c>
      <c r="K63" s="2"/>
      <c r="L63" s="2">
        <f t="shared" si="10"/>
        <v>-1666</v>
      </c>
      <c r="M63" s="2"/>
      <c r="N63" s="6">
        <f t="shared" si="11"/>
        <v>-1</v>
      </c>
      <c r="O63" s="14"/>
      <c r="P63" s="2">
        <f>SUM(OSRRefP22_12x_0)</f>
        <v>93596.93</v>
      </c>
      <c r="Q63" s="2"/>
      <c r="R63" s="6">
        <f t="shared" si="12"/>
        <v>0</v>
      </c>
      <c r="S63" s="2"/>
      <c r="T63" s="2">
        <f>SUM(OSRRefT22_12x_0)</f>
        <v>121828</v>
      </c>
      <c r="U63" s="2"/>
      <c r="V63" s="6">
        <f t="shared" si="13"/>
        <v>0</v>
      </c>
      <c r="W63" s="2"/>
      <c r="X63" s="2">
        <f t="shared" si="14"/>
        <v>-28231.070000000007</v>
      </c>
      <c r="Y63" s="2"/>
      <c r="Z63" s="6">
        <f t="shared" si="15"/>
        <v>-0.23172891289358774</v>
      </c>
    </row>
    <row r="64" spans="1:26" s="70" customFormat="1" ht="15" hidden="1" customHeight="1" outlineLevel="2" x14ac:dyDescent="0.3">
      <c r="A64" s="26"/>
      <c r="B64" s="12" t="str">
        <f>CONCATENATE("          ","6331"," - ","INDIRECT COSTS-AUXILIARY ORGAN")</f>
        <v xml:space="preserve">          6331 - INDIRECT COSTS-AUXILIARY ORGAN</v>
      </c>
      <c r="C64" s="12"/>
      <c r="D64" s="8"/>
      <c r="E64" s="3"/>
      <c r="F64" s="7">
        <f t="shared" si="8"/>
        <v>0</v>
      </c>
      <c r="G64" s="3"/>
      <c r="H64" s="8">
        <v>0</v>
      </c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79513.25</v>
      </c>
      <c r="Q64" s="3"/>
      <c r="R64" s="7">
        <f t="shared" si="12"/>
        <v>0</v>
      </c>
      <c r="S64" s="3"/>
      <c r="T64" s="8">
        <v>90000</v>
      </c>
      <c r="U64" s="3"/>
      <c r="V64" s="7">
        <f t="shared" si="13"/>
        <v>0</v>
      </c>
      <c r="W64" s="3"/>
      <c r="X64" s="8">
        <f t="shared" si="14"/>
        <v>-10486.75</v>
      </c>
      <c r="Y64" s="3"/>
      <c r="Z64" s="7">
        <f t="shared" si="15"/>
        <v>-0.11651944444444444</v>
      </c>
    </row>
    <row r="65" spans="1:26" s="70" customFormat="1" ht="15" hidden="1" customHeight="1" outlineLevel="2" x14ac:dyDescent="0.3">
      <c r="A65" s="26"/>
      <c r="B65" s="12" t="str">
        <f>CONCATENATE("          ","6332"," - ","CONSULTANT FEES")</f>
        <v xml:space="preserve">          6332 - CONSULTANT FEES</v>
      </c>
      <c r="C65" s="12"/>
      <c r="D65" s="8"/>
      <c r="E65" s="3"/>
      <c r="F65" s="7">
        <f t="shared" si="8"/>
        <v>0</v>
      </c>
      <c r="G65" s="3"/>
      <c r="H65" s="8">
        <v>0</v>
      </c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/>
      <c r="Q65" s="3"/>
      <c r="R65" s="7">
        <f t="shared" si="12"/>
        <v>0</v>
      </c>
      <c r="S65" s="3"/>
      <c r="T65" s="8">
        <v>11000</v>
      </c>
      <c r="U65" s="3"/>
      <c r="V65" s="7">
        <f t="shared" si="13"/>
        <v>0</v>
      </c>
      <c r="W65" s="3"/>
      <c r="X65" s="8">
        <f t="shared" si="14"/>
        <v>-11000</v>
      </c>
      <c r="Y65" s="3"/>
      <c r="Z65" s="7">
        <f t="shared" si="15"/>
        <v>-1</v>
      </c>
    </row>
    <row r="66" spans="1:26" s="70" customFormat="1" ht="15" hidden="1" customHeight="1" outlineLevel="2" x14ac:dyDescent="0.3">
      <c r="A66" s="26"/>
      <c r="B66" s="12" t="str">
        <f>CONCATENATE("          ","6334"," - ","LEGAL COUNCIL EXPENSE")</f>
        <v xml:space="preserve">          6334 - LEGAL COUNCIL EXPENSE</v>
      </c>
      <c r="C66" s="12"/>
      <c r="D66" s="8"/>
      <c r="E66" s="3"/>
      <c r="F66" s="7">
        <f t="shared" si="8"/>
        <v>0</v>
      </c>
      <c r="G66" s="3"/>
      <c r="H66" s="8">
        <v>833</v>
      </c>
      <c r="I66" s="3"/>
      <c r="J66" s="7">
        <f t="shared" si="9"/>
        <v>0</v>
      </c>
      <c r="K66" s="3"/>
      <c r="L66" s="8">
        <f t="shared" si="10"/>
        <v>-833</v>
      </c>
      <c r="M66" s="3"/>
      <c r="N66" s="7">
        <f t="shared" si="11"/>
        <v>-1</v>
      </c>
      <c r="O66" s="12"/>
      <c r="P66" s="8">
        <v>3455</v>
      </c>
      <c r="Q66" s="3"/>
      <c r="R66" s="7">
        <f t="shared" si="12"/>
        <v>0</v>
      </c>
      <c r="S66" s="3"/>
      <c r="T66" s="8">
        <v>9164</v>
      </c>
      <c r="U66" s="3"/>
      <c r="V66" s="7">
        <f t="shared" si="13"/>
        <v>0</v>
      </c>
      <c r="W66" s="3"/>
      <c r="X66" s="8">
        <f t="shared" si="14"/>
        <v>-5709</v>
      </c>
      <c r="Y66" s="3"/>
      <c r="Z66" s="7">
        <f t="shared" si="15"/>
        <v>-0.62298123090353552</v>
      </c>
    </row>
    <row r="67" spans="1:26" s="70" customFormat="1" ht="15" hidden="1" customHeight="1" outlineLevel="2" x14ac:dyDescent="0.3">
      <c r="A67" s="26"/>
      <c r="B67" s="12" t="str">
        <f>CONCATENATE("          ","6336"," - ","PROFESSIONAL SERVICES")</f>
        <v xml:space="preserve">          6336 - PROFESSIONAL SERVICES</v>
      </c>
      <c r="C67" s="12"/>
      <c r="D67" s="8"/>
      <c r="E67" s="3"/>
      <c r="F67" s="7">
        <f t="shared" si="8"/>
        <v>0</v>
      </c>
      <c r="G67" s="3"/>
      <c r="H67" s="8">
        <v>833</v>
      </c>
      <c r="I67" s="3"/>
      <c r="J67" s="7">
        <f t="shared" si="9"/>
        <v>0</v>
      </c>
      <c r="K67" s="3"/>
      <c r="L67" s="8">
        <f t="shared" si="10"/>
        <v>-833</v>
      </c>
      <c r="M67" s="3"/>
      <c r="N67" s="7">
        <f t="shared" si="11"/>
        <v>-1</v>
      </c>
      <c r="O67" s="12"/>
      <c r="P67" s="8">
        <v>10628.68</v>
      </c>
      <c r="Q67" s="3"/>
      <c r="R67" s="7">
        <f t="shared" si="12"/>
        <v>0</v>
      </c>
      <c r="S67" s="3"/>
      <c r="T67" s="8">
        <v>11664</v>
      </c>
      <c r="U67" s="3"/>
      <c r="V67" s="7">
        <f t="shared" si="13"/>
        <v>0</v>
      </c>
      <c r="W67" s="3"/>
      <c r="X67" s="8">
        <f t="shared" si="14"/>
        <v>-1035.3199999999997</v>
      </c>
      <c r="Y67" s="3"/>
      <c r="Z67" s="7">
        <f t="shared" si="15"/>
        <v>-8.8762002743484197E-2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SUM(OSRRefD22_13x_0)</f>
        <v>23801.18</v>
      </c>
      <c r="E68" s="2"/>
      <c r="F68" s="6">
        <f t="shared" si="8"/>
        <v>0</v>
      </c>
      <c r="G68" s="2"/>
      <c r="H68" s="2">
        <f>SUM(OSRRefH22_13x_0)</f>
        <v>33307</v>
      </c>
      <c r="I68" s="2"/>
      <c r="J68" s="6">
        <f t="shared" si="9"/>
        <v>0</v>
      </c>
      <c r="K68" s="2"/>
      <c r="L68" s="2">
        <f t="shared" si="10"/>
        <v>-9505.82</v>
      </c>
      <c r="M68" s="2"/>
      <c r="N68" s="6">
        <f t="shared" si="11"/>
        <v>-0.28540006605218121</v>
      </c>
      <c r="O68" s="14"/>
      <c r="P68" s="2">
        <f>SUM(OSRRefP22_13x_0)</f>
        <v>165806.26</v>
      </c>
      <c r="Q68" s="2"/>
      <c r="R68" s="6">
        <f t="shared" si="12"/>
        <v>0</v>
      </c>
      <c r="S68" s="2"/>
      <c r="T68" s="2">
        <f>SUM(OSRRefT22_13x_0)</f>
        <v>195556</v>
      </c>
      <c r="U68" s="2"/>
      <c r="V68" s="6">
        <f t="shared" si="13"/>
        <v>0</v>
      </c>
      <c r="W68" s="2"/>
      <c r="X68" s="2">
        <f t="shared" si="14"/>
        <v>-29749.739999999991</v>
      </c>
      <c r="Y68" s="2"/>
      <c r="Z68" s="6">
        <f t="shared" si="15"/>
        <v>-0.15212900652498512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8">
        <v>10602.76</v>
      </c>
      <c r="E69" s="3"/>
      <c r="F69" s="7">
        <f t="shared" si="8"/>
        <v>0</v>
      </c>
      <c r="G69" s="3"/>
      <c r="H69" s="8">
        <v>20600</v>
      </c>
      <c r="I69" s="3"/>
      <c r="J69" s="7">
        <f t="shared" si="9"/>
        <v>0</v>
      </c>
      <c r="K69" s="3"/>
      <c r="L69" s="8">
        <f t="shared" si="10"/>
        <v>-9997.24</v>
      </c>
      <c r="M69" s="3"/>
      <c r="N69" s="7">
        <f t="shared" si="11"/>
        <v>-0.48530291262135922</v>
      </c>
      <c r="O69" s="12"/>
      <c r="P69" s="8">
        <v>54184.6</v>
      </c>
      <c r="Q69" s="3"/>
      <c r="R69" s="7">
        <f t="shared" si="12"/>
        <v>0</v>
      </c>
      <c r="S69" s="3"/>
      <c r="T69" s="8">
        <v>87800</v>
      </c>
      <c r="U69" s="3"/>
      <c r="V69" s="7">
        <f t="shared" si="13"/>
        <v>0</v>
      </c>
      <c r="W69" s="3"/>
      <c r="X69" s="8">
        <f t="shared" si="14"/>
        <v>-33615.4</v>
      </c>
      <c r="Y69" s="3"/>
      <c r="Z69" s="7">
        <f t="shared" si="15"/>
        <v>-0.38286332574031895</v>
      </c>
    </row>
    <row r="70" spans="1:26" s="70" customFormat="1" ht="15" hidden="1" customHeight="1" outlineLevel="2" x14ac:dyDescent="0.3">
      <c r="A70" s="26"/>
      <c r="B70" s="12" t="str">
        <f>CONCATENATE("          ","6372"," - ","COMPUTER HARDWARE MAINTENANCE")</f>
        <v xml:space="preserve">          6372 - COMPUTER HARDWARE MAINTENANCE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4760.47</v>
      </c>
      <c r="Q70" s="3"/>
      <c r="R70" s="7">
        <f t="shared" si="12"/>
        <v>0</v>
      </c>
      <c r="S70" s="3"/>
      <c r="T70" s="8">
        <v>3000</v>
      </c>
      <c r="U70" s="3"/>
      <c r="V70" s="7">
        <f t="shared" si="13"/>
        <v>0</v>
      </c>
      <c r="W70" s="3"/>
      <c r="X70" s="8">
        <f t="shared" si="14"/>
        <v>1760.4700000000003</v>
      </c>
      <c r="Y70" s="3"/>
      <c r="Z70" s="7">
        <f t="shared" si="15"/>
        <v>0.58682333333333336</v>
      </c>
    </row>
    <row r="71" spans="1:26" s="70" customFormat="1" ht="15" hidden="1" customHeight="1" outlineLevel="2" x14ac:dyDescent="0.3">
      <c r="A71" s="26"/>
      <c r="B71" s="12" t="str">
        <f>CONCATENATE("          ","6373"," - ","MAINTENANCE CONTRACTS")</f>
        <v xml:space="preserve">          6373 - MAINTENANCE CONTRACTS</v>
      </c>
      <c r="C71" s="12"/>
      <c r="D71" s="8">
        <v>13183</v>
      </c>
      <c r="E71" s="3"/>
      <c r="F71" s="7">
        <f t="shared" si="8"/>
        <v>0</v>
      </c>
      <c r="G71" s="3"/>
      <c r="H71" s="8">
        <v>12557</v>
      </c>
      <c r="I71" s="3"/>
      <c r="J71" s="7">
        <f t="shared" si="9"/>
        <v>0</v>
      </c>
      <c r="K71" s="3"/>
      <c r="L71" s="8">
        <f t="shared" si="10"/>
        <v>626</v>
      </c>
      <c r="M71" s="3"/>
      <c r="N71" s="7">
        <f t="shared" si="11"/>
        <v>4.9852671816516682E-2</v>
      </c>
      <c r="O71" s="12"/>
      <c r="P71" s="8">
        <v>105006.5</v>
      </c>
      <c r="Q71" s="3"/>
      <c r="R71" s="7">
        <f t="shared" si="12"/>
        <v>0</v>
      </c>
      <c r="S71" s="3"/>
      <c r="T71" s="8">
        <v>103556</v>
      </c>
      <c r="U71" s="3"/>
      <c r="V71" s="7">
        <f t="shared" si="13"/>
        <v>0</v>
      </c>
      <c r="W71" s="3"/>
      <c r="X71" s="8">
        <f t="shared" si="14"/>
        <v>1450.5</v>
      </c>
      <c r="Y71" s="3"/>
      <c r="Z71" s="7">
        <f t="shared" si="15"/>
        <v>1.4006914133415736E-2</v>
      </c>
    </row>
    <row r="72" spans="1:26" s="70" customFormat="1" ht="15" hidden="1" customHeight="1" outlineLevel="2" x14ac:dyDescent="0.3">
      <c r="A72" s="26"/>
      <c r="B72" s="12" t="str">
        <f>CONCATENATE("          ","6375"," - ","OUTSIDE REPAIRS &amp; MAINTENANCE")</f>
        <v xml:space="preserve">          6375 - OUTSIDE REPAIRS &amp; MAINTENANCE</v>
      </c>
      <c r="C72" s="12"/>
      <c r="D72" s="8">
        <v>15.42</v>
      </c>
      <c r="E72" s="3"/>
      <c r="F72" s="7">
        <f t="shared" si="8"/>
        <v>0</v>
      </c>
      <c r="G72" s="3"/>
      <c r="H72" s="8">
        <v>150</v>
      </c>
      <c r="I72" s="3"/>
      <c r="J72" s="7">
        <f t="shared" si="9"/>
        <v>0</v>
      </c>
      <c r="K72" s="3"/>
      <c r="L72" s="8">
        <f t="shared" si="10"/>
        <v>-134.58000000000001</v>
      </c>
      <c r="M72" s="3"/>
      <c r="N72" s="7">
        <f t="shared" si="11"/>
        <v>-0.89720000000000011</v>
      </c>
      <c r="O72" s="12"/>
      <c r="P72" s="8">
        <v>1854.69</v>
      </c>
      <c r="Q72" s="3"/>
      <c r="R72" s="7">
        <f t="shared" si="12"/>
        <v>0</v>
      </c>
      <c r="S72" s="3"/>
      <c r="T72" s="8">
        <v>1200</v>
      </c>
      <c r="U72" s="3"/>
      <c r="V72" s="7">
        <f t="shared" si="13"/>
        <v>0</v>
      </c>
      <c r="W72" s="3"/>
      <c r="X72" s="8">
        <f t="shared" si="14"/>
        <v>654.69000000000005</v>
      </c>
      <c r="Y72" s="3"/>
      <c r="Z72" s="7">
        <f t="shared" si="15"/>
        <v>0.54557500000000003</v>
      </c>
    </row>
    <row r="73" spans="1:26" s="69" customFormat="1" ht="15" customHeight="1" outlineLevel="1" collapsed="1" x14ac:dyDescent="0.3">
      <c r="A73" s="25"/>
      <c r="B73" s="14" t="str">
        <f>CONCATENATE("     ","Services                                          ")</f>
        <v xml:space="preserve">     Services                                          </v>
      </c>
      <c r="C73" s="14"/>
      <c r="D73" s="2">
        <f>SUM(OSRRefD22_14x_0)</f>
        <v>961.14</v>
      </c>
      <c r="E73" s="2"/>
      <c r="F73" s="6">
        <f t="shared" si="8"/>
        <v>0</v>
      </c>
      <c r="G73" s="2"/>
      <c r="H73" s="2">
        <f>SUM(OSRRefH22_14x_0)</f>
        <v>650</v>
      </c>
      <c r="I73" s="2"/>
      <c r="J73" s="6">
        <f t="shared" si="9"/>
        <v>0</v>
      </c>
      <c r="K73" s="2"/>
      <c r="L73" s="2">
        <f t="shared" si="10"/>
        <v>311.14</v>
      </c>
      <c r="M73" s="2"/>
      <c r="N73" s="6">
        <f t="shared" si="11"/>
        <v>0.47867692307692306</v>
      </c>
      <c r="O73" s="14"/>
      <c r="P73" s="2">
        <f>SUM(OSRRefP22_14x_0)</f>
        <v>6166.6</v>
      </c>
      <c r="Q73" s="2"/>
      <c r="R73" s="6">
        <f t="shared" si="12"/>
        <v>0</v>
      </c>
      <c r="S73" s="2"/>
      <c r="T73" s="2">
        <f>SUM(OSRRefT22_14x_0)</f>
        <v>5200</v>
      </c>
      <c r="U73" s="2"/>
      <c r="V73" s="6">
        <f t="shared" si="13"/>
        <v>0</v>
      </c>
      <c r="W73" s="2"/>
      <c r="X73" s="2">
        <f t="shared" si="14"/>
        <v>966.60000000000036</v>
      </c>
      <c r="Y73" s="2"/>
      <c r="Z73" s="6">
        <f t="shared" si="15"/>
        <v>0.18588461538461545</v>
      </c>
    </row>
    <row r="74" spans="1:26" s="70" customFormat="1" ht="15" hidden="1" customHeight="1" outlineLevel="2" x14ac:dyDescent="0.3">
      <c r="A74" s="26"/>
      <c r="B74" s="12" t="str">
        <f>CONCATENATE("          ","6281"," - ","STORAGE FEE")</f>
        <v xml:space="preserve">          6281 - STORAGE FEE</v>
      </c>
      <c r="C74" s="12"/>
      <c r="D74" s="8">
        <v>961.14</v>
      </c>
      <c r="E74" s="3"/>
      <c r="F74" s="7">
        <f t="shared" si="8"/>
        <v>0</v>
      </c>
      <c r="G74" s="3"/>
      <c r="H74" s="8">
        <v>625</v>
      </c>
      <c r="I74" s="3"/>
      <c r="J74" s="7">
        <f t="shared" si="9"/>
        <v>0</v>
      </c>
      <c r="K74" s="3"/>
      <c r="L74" s="8">
        <f t="shared" si="10"/>
        <v>336.14</v>
      </c>
      <c r="M74" s="3"/>
      <c r="N74" s="7">
        <f t="shared" si="11"/>
        <v>0.53782399999999997</v>
      </c>
      <c r="O74" s="12"/>
      <c r="P74" s="8">
        <v>6166.6</v>
      </c>
      <c r="Q74" s="3"/>
      <c r="R74" s="7">
        <f t="shared" si="12"/>
        <v>0</v>
      </c>
      <c r="S74" s="3"/>
      <c r="T74" s="8">
        <v>5000</v>
      </c>
      <c r="U74" s="3"/>
      <c r="V74" s="7">
        <f t="shared" si="13"/>
        <v>0</v>
      </c>
      <c r="W74" s="3"/>
      <c r="X74" s="8">
        <f t="shared" si="14"/>
        <v>1166.6000000000004</v>
      </c>
      <c r="Y74" s="3"/>
      <c r="Z74" s="7">
        <f t="shared" si="15"/>
        <v>0.23332000000000008</v>
      </c>
    </row>
    <row r="75" spans="1:26" s="70" customFormat="1" ht="15" hidden="1" customHeight="1" outlineLevel="2" x14ac:dyDescent="0.3">
      <c r="A75" s="26"/>
      <c r="B75" s="12" t="str">
        <f>CONCATENATE("          ","6286"," - ","LAUNDRY EXPENSE")</f>
        <v xml:space="preserve">          6286 - LAUNDRY EXPENSE</v>
      </c>
      <c r="C75" s="12"/>
      <c r="D75" s="8"/>
      <c r="E75" s="3"/>
      <c r="F75" s="7">
        <f t="shared" si="8"/>
        <v>0</v>
      </c>
      <c r="G75" s="3"/>
      <c r="H75" s="8">
        <v>25</v>
      </c>
      <c r="I75" s="3"/>
      <c r="J75" s="7">
        <f t="shared" si="9"/>
        <v>0</v>
      </c>
      <c r="K75" s="3"/>
      <c r="L75" s="8">
        <f t="shared" si="10"/>
        <v>-25</v>
      </c>
      <c r="M75" s="3"/>
      <c r="N75" s="7">
        <f t="shared" si="11"/>
        <v>-1</v>
      </c>
      <c r="O75" s="12"/>
      <c r="P75" s="8"/>
      <c r="Q75" s="3"/>
      <c r="R75" s="7">
        <f t="shared" si="12"/>
        <v>0</v>
      </c>
      <c r="S75" s="3"/>
      <c r="T75" s="8">
        <v>200</v>
      </c>
      <c r="U75" s="3"/>
      <c r="V75" s="7">
        <f t="shared" si="13"/>
        <v>0</v>
      </c>
      <c r="W75" s="3"/>
      <c r="X75" s="8">
        <f t="shared" si="14"/>
        <v>-200</v>
      </c>
      <c r="Y75" s="3"/>
      <c r="Z75" s="7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2">
        <f>SUM(OSRRefD22_15x_0)</f>
        <v>1278.9000000000001</v>
      </c>
      <c r="E76" s="2"/>
      <c r="F76" s="6">
        <f t="shared" si="8"/>
        <v>0</v>
      </c>
      <c r="G76" s="2"/>
      <c r="H76" s="2">
        <f>SUM(OSRRefH22_15x_0)</f>
        <v>0</v>
      </c>
      <c r="I76" s="2"/>
      <c r="J76" s="6">
        <f t="shared" si="9"/>
        <v>0</v>
      </c>
      <c r="K76" s="2"/>
      <c r="L76" s="2">
        <f t="shared" si="10"/>
        <v>1278.9000000000001</v>
      </c>
      <c r="M76" s="2"/>
      <c r="N76" s="6">
        <f t="shared" si="11"/>
        <v>0</v>
      </c>
      <c r="O76" s="14"/>
      <c r="P76" s="2">
        <f>SUM(OSRRefP22_15x_0)</f>
        <v>3730.9</v>
      </c>
      <c r="Q76" s="2"/>
      <c r="R76" s="6">
        <f t="shared" si="12"/>
        <v>0</v>
      </c>
      <c r="S76" s="2"/>
      <c r="T76" s="2">
        <f>SUM(OSRRefT22_15x_0)</f>
        <v>3825</v>
      </c>
      <c r="U76" s="2"/>
      <c r="V76" s="6">
        <f t="shared" si="13"/>
        <v>0</v>
      </c>
      <c r="W76" s="2"/>
      <c r="X76" s="2">
        <f t="shared" si="14"/>
        <v>-94.099999999999909</v>
      </c>
      <c r="Y76" s="2"/>
      <c r="Z76" s="6">
        <f t="shared" si="15"/>
        <v>-2.4601307189542461E-2</v>
      </c>
    </row>
    <row r="77" spans="1:26" s="70" customFormat="1" ht="15" hidden="1" customHeight="1" outlineLevel="2" x14ac:dyDescent="0.3">
      <c r="A77" s="26"/>
      <c r="B77" s="12" t="str">
        <f>CONCATENATE("          ","6258"," - ","MEMBERSHIP DUES")</f>
        <v xml:space="preserve">          6258 - MEMBERSHIP DUES</v>
      </c>
      <c r="C77" s="12"/>
      <c r="D77" s="8">
        <v>0</v>
      </c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2452</v>
      </c>
      <c r="Q77" s="3"/>
      <c r="R77" s="7">
        <f t="shared" si="12"/>
        <v>0</v>
      </c>
      <c r="S77" s="3"/>
      <c r="T77" s="8">
        <v>3225</v>
      </c>
      <c r="U77" s="3"/>
      <c r="V77" s="7">
        <f t="shared" si="13"/>
        <v>0</v>
      </c>
      <c r="W77" s="3"/>
      <c r="X77" s="8">
        <f t="shared" si="14"/>
        <v>-773</v>
      </c>
      <c r="Y77" s="3"/>
      <c r="Z77" s="7">
        <f t="shared" si="15"/>
        <v>-0.23968992248062015</v>
      </c>
    </row>
    <row r="78" spans="1:26" s="70" customFormat="1" ht="15" hidden="1" customHeight="1" outlineLevel="2" x14ac:dyDescent="0.3">
      <c r="A78" s="26"/>
      <c r="B78" s="12" t="str">
        <f>CONCATENATE("          ","6275"," - ","SUBSCRIPTIONS")</f>
        <v xml:space="preserve">          6275 - SUBSCRIPTIONS</v>
      </c>
      <c r="C78" s="12"/>
      <c r="D78" s="8">
        <v>1278.9000000000001</v>
      </c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1278.9000000000001</v>
      </c>
      <c r="M78" s="3"/>
      <c r="N78" s="7">
        <f t="shared" si="11"/>
        <v>0</v>
      </c>
      <c r="O78" s="12"/>
      <c r="P78" s="8">
        <v>1278.9000000000001</v>
      </c>
      <c r="Q78" s="3"/>
      <c r="R78" s="7">
        <f t="shared" si="12"/>
        <v>0</v>
      </c>
      <c r="S78" s="3"/>
      <c r="T78" s="8">
        <v>600</v>
      </c>
      <c r="U78" s="3"/>
      <c r="V78" s="7">
        <f t="shared" si="13"/>
        <v>0</v>
      </c>
      <c r="W78" s="3"/>
      <c r="X78" s="8">
        <f t="shared" si="14"/>
        <v>678.90000000000009</v>
      </c>
      <c r="Y78" s="3"/>
      <c r="Z78" s="7">
        <f t="shared" si="15"/>
        <v>1.1315000000000002</v>
      </c>
    </row>
    <row r="79" spans="1:26" s="69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SUM(OSRRefD22_16x_0)</f>
        <v>24478.02</v>
      </c>
      <c r="E79" s="2"/>
      <c r="F79" s="6">
        <f t="shared" si="8"/>
        <v>0</v>
      </c>
      <c r="G79" s="2"/>
      <c r="H79" s="2">
        <f>SUM(OSRRefH22_16x_0)</f>
        <v>2784</v>
      </c>
      <c r="I79" s="2"/>
      <c r="J79" s="6">
        <f t="shared" si="9"/>
        <v>0</v>
      </c>
      <c r="K79" s="2"/>
      <c r="L79" s="2">
        <f t="shared" si="10"/>
        <v>21694.02</v>
      </c>
      <c r="M79" s="2"/>
      <c r="N79" s="6">
        <f t="shared" si="11"/>
        <v>7.7923922413793107</v>
      </c>
      <c r="O79" s="14"/>
      <c r="P79" s="2">
        <f>SUM(OSRRefP22_16x_0)</f>
        <v>39264.47</v>
      </c>
      <c r="Q79" s="2"/>
      <c r="R79" s="6">
        <f t="shared" si="12"/>
        <v>0</v>
      </c>
      <c r="S79" s="2"/>
      <c r="T79" s="2">
        <f>SUM(OSRRefT22_16x_0)</f>
        <v>27272</v>
      </c>
      <c r="U79" s="2"/>
      <c r="V79" s="6">
        <f t="shared" si="13"/>
        <v>0</v>
      </c>
      <c r="W79" s="2"/>
      <c r="X79" s="2">
        <f t="shared" si="14"/>
        <v>11992.470000000001</v>
      </c>
      <c r="Y79" s="2"/>
      <c r="Z79" s="6">
        <f t="shared" si="15"/>
        <v>0.4397356262833676</v>
      </c>
    </row>
    <row r="80" spans="1:26" s="70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8"/>
        <v>0</v>
      </c>
      <c r="G80" s="3"/>
      <c r="H80" s="8">
        <v>125</v>
      </c>
      <c r="I80" s="3"/>
      <c r="J80" s="7">
        <f t="shared" si="9"/>
        <v>0</v>
      </c>
      <c r="K80" s="3"/>
      <c r="L80" s="8">
        <f t="shared" si="10"/>
        <v>-125</v>
      </c>
      <c r="M80" s="3"/>
      <c r="N80" s="7">
        <f t="shared" si="11"/>
        <v>-1</v>
      </c>
      <c r="O80" s="12"/>
      <c r="P80" s="8">
        <v>26.1</v>
      </c>
      <c r="Q80" s="3"/>
      <c r="R80" s="7">
        <f t="shared" si="12"/>
        <v>0</v>
      </c>
      <c r="S80" s="3"/>
      <c r="T80" s="8">
        <v>1000</v>
      </c>
      <c r="U80" s="3"/>
      <c r="V80" s="7">
        <f t="shared" si="13"/>
        <v>0</v>
      </c>
      <c r="W80" s="3"/>
      <c r="X80" s="8">
        <f t="shared" si="14"/>
        <v>-973.9</v>
      </c>
      <c r="Y80" s="3"/>
      <c r="Z80" s="7">
        <f t="shared" si="15"/>
        <v>-0.97389999999999999</v>
      </c>
    </row>
    <row r="81" spans="1:26" s="70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8">
        <v>188.36</v>
      </c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188.36</v>
      </c>
      <c r="M81" s="3"/>
      <c r="N81" s="7">
        <f t="shared" si="11"/>
        <v>0</v>
      </c>
      <c r="O81" s="12"/>
      <c r="P81" s="8">
        <v>2636.13</v>
      </c>
      <c r="Q81" s="3"/>
      <c r="R81" s="7">
        <f t="shared" si="12"/>
        <v>0</v>
      </c>
      <c r="S81" s="3"/>
      <c r="T81" s="8"/>
      <c r="U81" s="3"/>
      <c r="V81" s="7">
        <f t="shared" si="13"/>
        <v>0</v>
      </c>
      <c r="W81" s="3"/>
      <c r="X81" s="8">
        <f t="shared" si="14"/>
        <v>2636.13</v>
      </c>
      <c r="Y81" s="3"/>
      <c r="Z81" s="7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","6241"," - ","OFFICE EXPENSE")</f>
        <v xml:space="preserve">          6241 - OFFICE EXPENSE</v>
      </c>
      <c r="C82" s="12"/>
      <c r="D82" s="8">
        <v>15738.06</v>
      </c>
      <c r="E82" s="3"/>
      <c r="F82" s="7">
        <f t="shared" ref="F82:F93" si="16">IF(D$12=0,0,D82/D$12)</f>
        <v>0</v>
      </c>
      <c r="G82" s="3"/>
      <c r="H82" s="8">
        <v>2242</v>
      </c>
      <c r="I82" s="3"/>
      <c r="J82" s="7">
        <f t="shared" ref="J82:J93" si="17">IF(H$12=0,0,H82/H$12)</f>
        <v>0</v>
      </c>
      <c r="K82" s="3"/>
      <c r="L82" s="8">
        <f t="shared" ref="L82:L93" si="18">+D82-H82</f>
        <v>13496.06</v>
      </c>
      <c r="M82" s="3"/>
      <c r="N82" s="7">
        <f t="shared" ref="N82:N93" si="19">IF(H82=0,0,L82/H82)</f>
        <v>6.0196520963425515</v>
      </c>
      <c r="O82" s="12"/>
      <c r="P82" s="8">
        <v>24665.95</v>
      </c>
      <c r="Q82" s="3"/>
      <c r="R82" s="7">
        <f t="shared" ref="R82:R93" si="20">IF(P$12=0,0,P82/P$12)</f>
        <v>0</v>
      </c>
      <c r="S82" s="3"/>
      <c r="T82" s="8">
        <v>17936</v>
      </c>
      <c r="U82" s="3"/>
      <c r="V82" s="7">
        <f t="shared" ref="V82:V93" si="21">IF(T$12=0,0,T82/T$12)</f>
        <v>0</v>
      </c>
      <c r="W82" s="3"/>
      <c r="X82" s="8">
        <f t="shared" ref="X82:X93" si="22">+P82-T82</f>
        <v>6729.9500000000007</v>
      </c>
      <c r="Y82" s="3"/>
      <c r="Z82" s="7">
        <f t="shared" ref="Z82:Z93" si="23">IF(T82=0,0,X82/T82)</f>
        <v>0.37522022747546835</v>
      </c>
    </row>
    <row r="83" spans="1:26" s="70" customFormat="1" ht="15" hidden="1" customHeight="1" outlineLevel="2" x14ac:dyDescent="0.3">
      <c r="A83" s="26"/>
      <c r="B83" s="12" t="str">
        <f>CONCATENATE("          ","6244"," - ","SAFETY SUPPLY EXPENSE")</f>
        <v xml:space="preserve">          6244 - SAFETY SUPPLY EXPENSE</v>
      </c>
      <c r="C83" s="12"/>
      <c r="D83" s="8">
        <v>50</v>
      </c>
      <c r="E83" s="3"/>
      <c r="F83" s="7">
        <f t="shared" si="16"/>
        <v>0</v>
      </c>
      <c r="G83" s="3"/>
      <c r="H83" s="8">
        <v>417</v>
      </c>
      <c r="I83" s="3"/>
      <c r="J83" s="7">
        <f t="shared" si="17"/>
        <v>0</v>
      </c>
      <c r="K83" s="3"/>
      <c r="L83" s="8">
        <f t="shared" si="18"/>
        <v>-367</v>
      </c>
      <c r="M83" s="3"/>
      <c r="N83" s="7">
        <f t="shared" si="19"/>
        <v>-0.88009592326139086</v>
      </c>
      <c r="O83" s="12"/>
      <c r="P83" s="8">
        <v>650</v>
      </c>
      <c r="Q83" s="3"/>
      <c r="R83" s="7">
        <f t="shared" si="20"/>
        <v>0</v>
      </c>
      <c r="S83" s="3"/>
      <c r="T83" s="8">
        <v>3336</v>
      </c>
      <c r="U83" s="3"/>
      <c r="V83" s="7">
        <f t="shared" si="21"/>
        <v>0</v>
      </c>
      <c r="W83" s="3"/>
      <c r="X83" s="8">
        <f t="shared" si="22"/>
        <v>-2686</v>
      </c>
      <c r="Y83" s="3"/>
      <c r="Z83" s="7">
        <f t="shared" si="23"/>
        <v>-0.80515587529976018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8"/>
      <c r="E84" s="3"/>
      <c r="F84" s="7">
        <f t="shared" si="16"/>
        <v>0</v>
      </c>
      <c r="G84" s="3"/>
      <c r="H84" s="8"/>
      <c r="I84" s="3"/>
      <c r="J84" s="7">
        <f t="shared" si="17"/>
        <v>0</v>
      </c>
      <c r="K84" s="3"/>
      <c r="L84" s="8">
        <f t="shared" si="18"/>
        <v>0</v>
      </c>
      <c r="M84" s="3"/>
      <c r="N84" s="7">
        <f t="shared" si="19"/>
        <v>0</v>
      </c>
      <c r="O84" s="12"/>
      <c r="P84" s="8"/>
      <c r="Q84" s="3"/>
      <c r="R84" s="7">
        <f t="shared" si="20"/>
        <v>0</v>
      </c>
      <c r="S84" s="3"/>
      <c r="T84" s="8">
        <v>5000</v>
      </c>
      <c r="U84" s="3"/>
      <c r="V84" s="7">
        <f t="shared" si="21"/>
        <v>0</v>
      </c>
      <c r="W84" s="3"/>
      <c r="X84" s="8">
        <f t="shared" si="22"/>
        <v>-5000</v>
      </c>
      <c r="Y84" s="3"/>
      <c r="Z84" s="7">
        <f t="shared" si="23"/>
        <v>-1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8">
        <v>8501.6</v>
      </c>
      <c r="E85" s="3"/>
      <c r="F85" s="7">
        <f t="shared" si="16"/>
        <v>0</v>
      </c>
      <c r="G85" s="3"/>
      <c r="H85" s="8"/>
      <c r="I85" s="3"/>
      <c r="J85" s="7">
        <f t="shared" si="17"/>
        <v>0</v>
      </c>
      <c r="K85" s="3"/>
      <c r="L85" s="8">
        <f t="shared" si="18"/>
        <v>8501.6</v>
      </c>
      <c r="M85" s="3"/>
      <c r="N85" s="7">
        <f t="shared" si="19"/>
        <v>0</v>
      </c>
      <c r="O85" s="12"/>
      <c r="P85" s="8">
        <v>11286.29</v>
      </c>
      <c r="Q85" s="3"/>
      <c r="R85" s="7">
        <f t="shared" si="20"/>
        <v>0</v>
      </c>
      <c r="S85" s="3"/>
      <c r="T85" s="8"/>
      <c r="U85" s="3"/>
      <c r="V85" s="7">
        <f t="shared" si="21"/>
        <v>0</v>
      </c>
      <c r="W85" s="3"/>
      <c r="X85" s="8">
        <f t="shared" si="22"/>
        <v>11286.29</v>
      </c>
      <c r="Y85" s="3"/>
      <c r="Z85" s="7">
        <f t="shared" si="23"/>
        <v>0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SUM(OSRRefD22_17x_0)</f>
        <v>2530.8900000000003</v>
      </c>
      <c r="E86" s="2"/>
      <c r="F86" s="6">
        <f t="shared" si="16"/>
        <v>0</v>
      </c>
      <c r="G86" s="2"/>
      <c r="H86" s="2">
        <f>SUM(OSRRefH22_17x_0)</f>
        <v>1805</v>
      </c>
      <c r="I86" s="2"/>
      <c r="J86" s="6">
        <f t="shared" si="17"/>
        <v>0</v>
      </c>
      <c r="K86" s="2"/>
      <c r="L86" s="2">
        <f t="shared" si="18"/>
        <v>725.89000000000033</v>
      </c>
      <c r="M86" s="2"/>
      <c r="N86" s="6">
        <f t="shared" si="19"/>
        <v>0.40215512465373981</v>
      </c>
      <c r="O86" s="14"/>
      <c r="P86" s="2">
        <f>SUM(OSRRefP22_17x_0)</f>
        <v>18721.7</v>
      </c>
      <c r="Q86" s="2"/>
      <c r="R86" s="6">
        <f t="shared" si="20"/>
        <v>0</v>
      </c>
      <c r="S86" s="2"/>
      <c r="T86" s="2">
        <f>SUM(OSRRefT22_17x_0)</f>
        <v>14440</v>
      </c>
      <c r="U86" s="2"/>
      <c r="V86" s="6">
        <f t="shared" si="21"/>
        <v>0</v>
      </c>
      <c r="W86" s="2"/>
      <c r="X86" s="2">
        <f t="shared" si="22"/>
        <v>4281.7000000000007</v>
      </c>
      <c r="Y86" s="2"/>
      <c r="Z86" s="6">
        <f t="shared" si="23"/>
        <v>0.29651662049861499</v>
      </c>
    </row>
    <row r="87" spans="1:26" s="70" customFormat="1" ht="15" hidden="1" customHeight="1" outlineLevel="2" x14ac:dyDescent="0.3">
      <c r="A87" s="26"/>
      <c r="B87" s="12" t="str">
        <f>CONCATENATE("          ","6303"," - ","DATA PHONE LINES")</f>
        <v xml:space="preserve">          6303 - DATA PHONE LINES</v>
      </c>
      <c r="C87" s="12"/>
      <c r="D87" s="8">
        <v>260.97000000000003</v>
      </c>
      <c r="E87" s="3"/>
      <c r="F87" s="7">
        <f t="shared" si="16"/>
        <v>0</v>
      </c>
      <c r="G87" s="3"/>
      <c r="H87" s="8">
        <v>236</v>
      </c>
      <c r="I87" s="3"/>
      <c r="J87" s="7">
        <f t="shared" si="17"/>
        <v>0</v>
      </c>
      <c r="K87" s="3"/>
      <c r="L87" s="8">
        <f t="shared" si="18"/>
        <v>24.970000000000027</v>
      </c>
      <c r="M87" s="3"/>
      <c r="N87" s="7">
        <f t="shared" si="19"/>
        <v>0.10580508474576283</v>
      </c>
      <c r="O87" s="12"/>
      <c r="P87" s="8">
        <v>1342.84</v>
      </c>
      <c r="Q87" s="3"/>
      <c r="R87" s="7">
        <f t="shared" si="20"/>
        <v>0</v>
      </c>
      <c r="S87" s="3"/>
      <c r="T87" s="8">
        <v>1888</v>
      </c>
      <c r="U87" s="3"/>
      <c r="V87" s="7">
        <f t="shared" si="21"/>
        <v>0</v>
      </c>
      <c r="W87" s="3"/>
      <c r="X87" s="8">
        <f t="shared" si="22"/>
        <v>-545.16000000000008</v>
      </c>
      <c r="Y87" s="3"/>
      <c r="Z87" s="7">
        <f t="shared" si="23"/>
        <v>-0.28875000000000006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8">
        <v>2269.92</v>
      </c>
      <c r="E88" s="3"/>
      <c r="F88" s="7">
        <f t="shared" si="16"/>
        <v>0</v>
      </c>
      <c r="G88" s="3"/>
      <c r="H88" s="8">
        <v>1569</v>
      </c>
      <c r="I88" s="3"/>
      <c r="J88" s="7">
        <f t="shared" si="17"/>
        <v>0</v>
      </c>
      <c r="K88" s="3"/>
      <c r="L88" s="8">
        <f t="shared" si="18"/>
        <v>700.92000000000007</v>
      </c>
      <c r="M88" s="3"/>
      <c r="N88" s="7">
        <f t="shared" si="19"/>
        <v>0.44673040152963678</v>
      </c>
      <c r="O88" s="12"/>
      <c r="P88" s="8">
        <v>17378.86</v>
      </c>
      <c r="Q88" s="3"/>
      <c r="R88" s="7">
        <f t="shared" si="20"/>
        <v>0</v>
      </c>
      <c r="S88" s="3"/>
      <c r="T88" s="8">
        <v>12552</v>
      </c>
      <c r="U88" s="3"/>
      <c r="V88" s="7">
        <f t="shared" si="21"/>
        <v>0</v>
      </c>
      <c r="W88" s="3"/>
      <c r="X88" s="8">
        <f t="shared" si="22"/>
        <v>4826.8600000000006</v>
      </c>
      <c r="Y88" s="3"/>
      <c r="Z88" s="7">
        <f t="shared" si="23"/>
        <v>0.384549075844487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SUM(OSRRefD22_18x_0)</f>
        <v>0</v>
      </c>
      <c r="E89" s="2"/>
      <c r="F89" s="6">
        <f t="shared" si="16"/>
        <v>0</v>
      </c>
      <c r="G89" s="2"/>
      <c r="H89" s="2">
        <f>SUM(OSRRefH22_18x_0)</f>
        <v>1833</v>
      </c>
      <c r="I89" s="2"/>
      <c r="J89" s="6">
        <f t="shared" si="17"/>
        <v>0</v>
      </c>
      <c r="K89" s="2"/>
      <c r="L89" s="2">
        <f t="shared" si="18"/>
        <v>-1833</v>
      </c>
      <c r="M89" s="2"/>
      <c r="N89" s="6">
        <f t="shared" si="19"/>
        <v>-1</v>
      </c>
      <c r="O89" s="14"/>
      <c r="P89" s="2">
        <f>SUM(OSRRefP22_18x_0)</f>
        <v>1764</v>
      </c>
      <c r="Q89" s="2"/>
      <c r="R89" s="6">
        <f t="shared" si="20"/>
        <v>0</v>
      </c>
      <c r="S89" s="2"/>
      <c r="T89" s="2">
        <f>SUM(OSRRefT22_18x_0)</f>
        <v>10714</v>
      </c>
      <c r="U89" s="2"/>
      <c r="V89" s="6">
        <f t="shared" si="21"/>
        <v>0</v>
      </c>
      <c r="W89" s="2"/>
      <c r="X89" s="2">
        <f t="shared" si="22"/>
        <v>-8950</v>
      </c>
      <c r="Y89" s="2"/>
      <c r="Z89" s="6">
        <f t="shared" si="23"/>
        <v>-0.83535560948291954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8"/>
      <c r="E90" s="3"/>
      <c r="F90" s="7">
        <f t="shared" si="16"/>
        <v>0</v>
      </c>
      <c r="G90" s="3"/>
      <c r="H90" s="8">
        <v>1833</v>
      </c>
      <c r="I90" s="3"/>
      <c r="J90" s="7">
        <f t="shared" si="17"/>
        <v>0</v>
      </c>
      <c r="K90" s="3"/>
      <c r="L90" s="8">
        <f t="shared" si="18"/>
        <v>-1833</v>
      </c>
      <c r="M90" s="3"/>
      <c r="N90" s="7">
        <f t="shared" si="19"/>
        <v>-1</v>
      </c>
      <c r="O90" s="12"/>
      <c r="P90" s="8">
        <v>1764</v>
      </c>
      <c r="Q90" s="3"/>
      <c r="R90" s="7">
        <f t="shared" si="20"/>
        <v>0</v>
      </c>
      <c r="S90" s="3"/>
      <c r="T90" s="8">
        <v>10714</v>
      </c>
      <c r="U90" s="3"/>
      <c r="V90" s="7">
        <f t="shared" si="21"/>
        <v>0</v>
      </c>
      <c r="W90" s="3"/>
      <c r="X90" s="8">
        <f t="shared" si="22"/>
        <v>-8950</v>
      </c>
      <c r="Y90" s="3"/>
      <c r="Z90" s="7">
        <f t="shared" si="23"/>
        <v>-0.83535560948291954</v>
      </c>
    </row>
    <row r="91" spans="1:26" s="69" customFormat="1" ht="15" customHeight="1" outlineLevel="1" collapsed="1" x14ac:dyDescent="0.3">
      <c r="A91" s="25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SUM(OSRRefD22_19x_0)</f>
        <v>0</v>
      </c>
      <c r="E91" s="2"/>
      <c r="F91" s="6">
        <f t="shared" si="16"/>
        <v>0</v>
      </c>
      <c r="G91" s="2"/>
      <c r="H91" s="2">
        <f>SUM(OSRRefH22_19x_0)</f>
        <v>0</v>
      </c>
      <c r="I91" s="2"/>
      <c r="J91" s="6">
        <f t="shared" si="17"/>
        <v>0</v>
      </c>
      <c r="K91" s="2"/>
      <c r="L91" s="2">
        <f t="shared" si="18"/>
        <v>0</v>
      </c>
      <c r="M91" s="2"/>
      <c r="N91" s="6">
        <f t="shared" si="19"/>
        <v>0</v>
      </c>
      <c r="O91" s="14"/>
      <c r="P91" s="2">
        <f>SUM(OSRRefP22_19x_0)</f>
        <v>30.4</v>
      </c>
      <c r="Q91" s="2"/>
      <c r="R91" s="6">
        <f t="shared" si="20"/>
        <v>0</v>
      </c>
      <c r="S91" s="2"/>
      <c r="T91" s="2">
        <f>SUM(OSRRefT22_19x_0)</f>
        <v>7720</v>
      </c>
      <c r="U91" s="2"/>
      <c r="V91" s="6">
        <f t="shared" si="21"/>
        <v>0</v>
      </c>
      <c r="W91" s="2"/>
      <c r="X91" s="2">
        <f t="shared" si="22"/>
        <v>-7689.6</v>
      </c>
      <c r="Y91" s="2"/>
      <c r="Z91" s="6">
        <f t="shared" si="23"/>
        <v>-0.99606217616580317</v>
      </c>
    </row>
    <row r="92" spans="1:26" s="70" customFormat="1" ht="15" hidden="1" customHeight="1" outlineLevel="2" x14ac:dyDescent="0.3">
      <c r="A92" s="26"/>
      <c r="B92" s="12" t="str">
        <f>CONCATENATE("          ","6292"," - ","TRAVEL/CONFERENCE")</f>
        <v xml:space="preserve">          6292 - TRAVEL/CONFERENCE</v>
      </c>
      <c r="C92" s="12"/>
      <c r="D92" s="8"/>
      <c r="E92" s="3"/>
      <c r="F92" s="7">
        <f t="shared" si="16"/>
        <v>0</v>
      </c>
      <c r="G92" s="3"/>
      <c r="H92" s="8"/>
      <c r="I92" s="3"/>
      <c r="J92" s="7">
        <f t="shared" si="17"/>
        <v>0</v>
      </c>
      <c r="K92" s="3"/>
      <c r="L92" s="8">
        <f t="shared" si="18"/>
        <v>0</v>
      </c>
      <c r="M92" s="3"/>
      <c r="N92" s="7">
        <f t="shared" si="19"/>
        <v>0</v>
      </c>
      <c r="O92" s="12"/>
      <c r="P92" s="8">
        <v>0</v>
      </c>
      <c r="Q92" s="3"/>
      <c r="R92" s="7">
        <f t="shared" si="20"/>
        <v>0</v>
      </c>
      <c r="S92" s="3"/>
      <c r="T92" s="8">
        <v>6220</v>
      </c>
      <c r="U92" s="3"/>
      <c r="V92" s="7">
        <f t="shared" si="21"/>
        <v>0</v>
      </c>
      <c r="W92" s="3"/>
      <c r="X92" s="8">
        <f t="shared" si="22"/>
        <v>-6220</v>
      </c>
      <c r="Y92" s="3"/>
      <c r="Z92" s="7">
        <f t="shared" si="23"/>
        <v>-1</v>
      </c>
    </row>
    <row r="93" spans="1:26" s="70" customFormat="1" ht="15" hidden="1" customHeight="1" outlineLevel="2" x14ac:dyDescent="0.3">
      <c r="A93" s="26"/>
      <c r="B93" s="12" t="str">
        <f>CONCATENATE("          ","6294"," - ","TRAVEL OPERATIONAL")</f>
        <v xml:space="preserve">          6294 - TRAVEL OPERATIONAL</v>
      </c>
      <c r="C93" s="12"/>
      <c r="D93" s="8"/>
      <c r="E93" s="3"/>
      <c r="F93" s="7">
        <f t="shared" si="16"/>
        <v>0</v>
      </c>
      <c r="G93" s="3"/>
      <c r="H93" s="8"/>
      <c r="I93" s="3"/>
      <c r="J93" s="7">
        <f t="shared" si="17"/>
        <v>0</v>
      </c>
      <c r="K93" s="3"/>
      <c r="L93" s="8">
        <f t="shared" si="18"/>
        <v>0</v>
      </c>
      <c r="M93" s="3"/>
      <c r="N93" s="7">
        <f t="shared" si="19"/>
        <v>0</v>
      </c>
      <c r="O93" s="12"/>
      <c r="P93" s="8">
        <v>30.4</v>
      </c>
      <c r="Q93" s="3"/>
      <c r="R93" s="7">
        <f t="shared" si="20"/>
        <v>0</v>
      </c>
      <c r="S93" s="3"/>
      <c r="T93" s="8">
        <v>1500</v>
      </c>
      <c r="U93" s="3"/>
      <c r="V93" s="7">
        <f t="shared" si="21"/>
        <v>0</v>
      </c>
      <c r="W93" s="3"/>
      <c r="X93" s="8">
        <f t="shared" si="22"/>
        <v>-1469.6</v>
      </c>
      <c r="Y93" s="3"/>
      <c r="Z93" s="7">
        <f t="shared" si="23"/>
        <v>-0.97973333333333323</v>
      </c>
    </row>
    <row r="94" spans="1:26" s="65" customFormat="1" ht="15" customHeight="1" x14ac:dyDescent="0.3">
      <c r="A94" s="35"/>
      <c r="B94" s="35"/>
      <c r="C94" s="35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5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3" customFormat="1" ht="15" customHeight="1" x14ac:dyDescent="0.3">
      <c r="A95" s="11"/>
      <c r="B95" s="27" t="s">
        <v>291</v>
      </c>
      <c r="C95" s="11"/>
      <c r="D95" s="5">
        <f>SUM(0)</f>
        <v>0</v>
      </c>
      <c r="E95" s="5"/>
      <c r="F95" s="13">
        <f>IF(D$12=0,0,D95/D$12)</f>
        <v>0</v>
      </c>
      <c r="G95" s="5"/>
      <c r="H95" s="5">
        <f>SUM(0)</f>
        <v>0</v>
      </c>
      <c r="I95" s="5"/>
      <c r="J95" s="13">
        <f>IF(H$12=0,0,H95/H$12)</f>
        <v>0</v>
      </c>
      <c r="K95" s="5"/>
      <c r="L95" s="5">
        <f>+D95-H95</f>
        <v>0</v>
      </c>
      <c r="M95" s="5"/>
      <c r="N95" s="13">
        <f>IF(H95=0,0,L95/H95)</f>
        <v>0</v>
      </c>
      <c r="O95" s="11"/>
      <c r="P95" s="5">
        <f>SUM(0)</f>
        <v>0</v>
      </c>
      <c r="Q95" s="5"/>
      <c r="R95" s="13">
        <f>IF(P$12=0,0,P95/P$12)</f>
        <v>0</v>
      </c>
      <c r="S95" s="5"/>
      <c r="T95" s="5">
        <f>SUM(0)</f>
        <v>0</v>
      </c>
      <c r="U95" s="5"/>
      <c r="V95" s="13">
        <f>IF(T$12=0,0,T95/T$12)</f>
        <v>0</v>
      </c>
      <c r="W95" s="5"/>
      <c r="X95" s="5">
        <f>+P95-T95</f>
        <v>0</v>
      </c>
      <c r="Y95" s="5"/>
      <c r="Z95" s="13">
        <f>IF(T95=0,0,X95/T95)</f>
        <v>0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8" t="s">
        <v>292</v>
      </c>
      <c r="C97" s="28"/>
      <c r="D97" s="21">
        <f>+D16-D18+D95</f>
        <v>-237459.55000000005</v>
      </c>
      <c r="E97" s="15"/>
      <c r="F97" s="22">
        <f>IF(D$12=0,0,D97/D$12)</f>
        <v>0</v>
      </c>
      <c r="G97" s="15"/>
      <c r="H97" s="21">
        <f>+H16-H18+H95</f>
        <v>-238186.01269830161</v>
      </c>
      <c r="I97" s="15"/>
      <c r="J97" s="22">
        <f>IF(H$12=0,0,H97/H$12)</f>
        <v>0</v>
      </c>
      <c r="K97" s="16"/>
      <c r="L97" s="21">
        <f>+D97-H97</f>
        <v>726.46269830156234</v>
      </c>
      <c r="M97" s="16"/>
      <c r="N97" s="22">
        <f>IF(H97=0,0,L97/H97)</f>
        <v>-3.0499805176290372E-3</v>
      </c>
      <c r="O97" s="27"/>
      <c r="P97" s="21">
        <f>+P16-P18+P95</f>
        <v>-1953036.5999999999</v>
      </c>
      <c r="Q97" s="15"/>
      <c r="R97" s="22">
        <f>IF(P$12=0,0,P97/P$12)</f>
        <v>0</v>
      </c>
      <c r="S97" s="15"/>
      <c r="T97" s="21">
        <f>+T16-T18+T95</f>
        <v>-2093190.8974470613</v>
      </c>
      <c r="U97" s="15"/>
      <c r="V97" s="22">
        <f>IF(T$12=0,0,T97/T$12)</f>
        <v>0</v>
      </c>
      <c r="W97" s="16"/>
      <c r="X97" s="21">
        <f>+P97-T97</f>
        <v>140154.2974470614</v>
      </c>
      <c r="Y97" s="16"/>
      <c r="Z97" s="22">
        <f>IF(T97=0,0,X97/T97)</f>
        <v>-6.6957245809734389E-2</v>
      </c>
    </row>
    <row r="98" spans="1:26" ht="15" customHeight="1" x14ac:dyDescent="0.3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49"/>
      <c r="B99" s="11" t="s">
        <v>293</v>
      </c>
      <c r="C99" s="11"/>
      <c r="D99" s="5"/>
      <c r="E99" s="5"/>
      <c r="F99" s="13">
        <f>IF(D$12=0,0,D99/D$12)</f>
        <v>0</v>
      </c>
      <c r="G99" s="5"/>
      <c r="H99" s="5"/>
      <c r="I99" s="5"/>
      <c r="J99" s="13">
        <f>IF(H$12=0,0,H99/H$12)</f>
        <v>0</v>
      </c>
      <c r="K99" s="5"/>
      <c r="L99" s="5">
        <f>+D99-H99</f>
        <v>0</v>
      </c>
      <c r="M99" s="5"/>
      <c r="N99" s="13">
        <f>IF(H99=0,0,L99/H99)</f>
        <v>0</v>
      </c>
      <c r="O99" s="11"/>
      <c r="P99" s="5"/>
      <c r="Q99" s="5"/>
      <c r="R99" s="13">
        <f>IF(P$12=0,0,P99/P$12)</f>
        <v>0</v>
      </c>
      <c r="S99" s="5"/>
      <c r="T99" s="5"/>
      <c r="U99" s="5"/>
      <c r="V99" s="13">
        <f>IF(T$12=0,0,T99/T$12)</f>
        <v>0</v>
      </c>
      <c r="W99" s="5"/>
      <c r="X99" s="5">
        <f>+P99-T99</f>
        <v>0</v>
      </c>
      <c r="Y99" s="5"/>
      <c r="Z99" s="13">
        <f>IF(T99=0,0,X99/T99)</f>
        <v>0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8" t="s">
        <v>294</v>
      </c>
      <c r="C101" s="28"/>
      <c r="D101" s="33">
        <f>+D97-D99</f>
        <v>-237459.55000000005</v>
      </c>
      <c r="E101" s="15"/>
      <c r="F101" s="32">
        <f>IF(D$12=0,0,D101/D$12)</f>
        <v>0</v>
      </c>
      <c r="G101" s="15"/>
      <c r="H101" s="33">
        <f>+H97-H99</f>
        <v>-238186.01269830161</v>
      </c>
      <c r="I101" s="15"/>
      <c r="J101" s="32">
        <f>IF(H$12=0,0,H101/H$12)</f>
        <v>0</v>
      </c>
      <c r="K101" s="16"/>
      <c r="L101" s="33">
        <f>D101-H101</f>
        <v>726.46269830156234</v>
      </c>
      <c r="M101" s="16"/>
      <c r="N101" s="32">
        <f>IF(H101=0,0,L101/H101)</f>
        <v>-3.0499805176290372E-3</v>
      </c>
      <c r="O101" s="27"/>
      <c r="P101" s="33">
        <f>+P97-P99</f>
        <v>-1953036.5999999999</v>
      </c>
      <c r="Q101" s="15"/>
      <c r="R101" s="32">
        <f>IF(P$12=0,0,P101/P$12)</f>
        <v>0</v>
      </c>
      <c r="S101" s="15"/>
      <c r="T101" s="33">
        <f>+T97-T99</f>
        <v>-2093190.8974470613</v>
      </c>
      <c r="U101" s="15"/>
      <c r="V101" s="32">
        <f>IF(T$12=0,0,T101/T$12)</f>
        <v>0</v>
      </c>
      <c r="W101" s="16"/>
      <c r="X101" s="33">
        <f>P101-T101</f>
        <v>140154.2974470614</v>
      </c>
      <c r="Y101" s="16"/>
      <c r="Z101" s="32">
        <f>IF(T101=0,0,X101/T101)</f>
        <v>-6.6957245809734389E-2</v>
      </c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3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11"/>
      <c r="B104" s="28" t="s">
        <v>297</v>
      </c>
      <c r="C104" s="28"/>
      <c r="D104" s="34">
        <f>SUM(D101:D103)</f>
        <v>-237459.55000000005</v>
      </c>
      <c r="E104" s="15"/>
      <c r="F104" s="30">
        <f>IF(D$12=0,0,D104/D$12)</f>
        <v>0</v>
      </c>
      <c r="G104" s="15"/>
      <c r="H104" s="34">
        <f>SUM(H101:H103)</f>
        <v>-238186.01269830161</v>
      </c>
      <c r="I104" s="15"/>
      <c r="J104" s="30">
        <f>IF(H$12=0,0,H104/H$12)</f>
        <v>0</v>
      </c>
      <c r="K104" s="16"/>
      <c r="L104" s="34">
        <f>+D104-H104</f>
        <v>726.46269830156234</v>
      </c>
      <c r="M104" s="16"/>
      <c r="N104" s="30">
        <f>IF(H104=0,0,L104/H104)</f>
        <v>-3.0499805176290372E-3</v>
      </c>
      <c r="O104" s="27"/>
      <c r="P104" s="34">
        <f>SUM(P101:P103)</f>
        <v>-1953036.5999999999</v>
      </c>
      <c r="Q104" s="15"/>
      <c r="R104" s="30">
        <f>IF(P$12=0,0,P104/P$12)</f>
        <v>0</v>
      </c>
      <c r="S104" s="15"/>
      <c r="T104" s="34">
        <f>SUM(T101:T103)</f>
        <v>-2093190.8974470613</v>
      </c>
      <c r="U104" s="15"/>
      <c r="V104" s="30">
        <f>IF(T$12=0,0,T104/T$12)</f>
        <v>0</v>
      </c>
      <c r="W104" s="16"/>
      <c r="X104" s="34">
        <f>+P104-T104</f>
        <v>140154.2974470614</v>
      </c>
      <c r="Y104" s="16"/>
      <c r="Z104" s="30">
        <f>IF(T104=0,0,X104/T104)</f>
        <v>-6.6957245809734389E-2</v>
      </c>
    </row>
    <row r="105" spans="1:26" ht="15" customHeight="1" x14ac:dyDescent="0.3">
      <c r="A105" s="10"/>
      <c r="C105" s="10"/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0"/>
      <c r="B106" s="57">
        <v>44634.883413113428</v>
      </c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A107" s="10"/>
      <c r="B107" s="56" t="s">
        <v>298</v>
      </c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  <row r="108" spans="1:26" ht="15" customHeight="1" x14ac:dyDescent="0.3">
      <c r="A108" s="10"/>
      <c r="B108" s="54"/>
      <c r="D108" s="19"/>
      <c r="E108" s="19"/>
      <c r="G108" s="19"/>
      <c r="H108" s="19"/>
      <c r="I108" s="19"/>
      <c r="J108" s="41"/>
      <c r="K108" s="19"/>
      <c r="L108" s="19"/>
      <c r="M108" s="19"/>
      <c r="P108" s="19"/>
      <c r="Q108" s="19"/>
      <c r="R108" s="41"/>
      <c r="S108" s="19"/>
      <c r="T108" s="19"/>
      <c r="U108" s="19"/>
      <c r="V108" s="41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5A071-388C-B41D-75C2-AF45155E058E}">
  <sheetPr>
    <tabColor rgb="FF92D050"/>
    <outlinePr summaryBelow="0" summaryRight="0"/>
  </sheetPr>
  <dimension ref="A2:Z4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","200"," - ","Corporate Expense")</f>
        <v>Department 200 - Corporate Expense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28186.81</v>
      </c>
      <c r="E18" s="23"/>
      <c r="F18" s="29">
        <f t="shared" ref="F18:F27" si="0">IF(D$12=0,0,D18/D$12)</f>
        <v>0</v>
      </c>
      <c r="G18" s="23"/>
      <c r="H18" s="23" cm="1">
        <f t="array" ref="H18">SUM(OSRRefH22x_0)</f>
        <v>37508</v>
      </c>
      <c r="I18" s="23"/>
      <c r="J18" s="29">
        <f t="shared" ref="J18:J27" si="1">IF(H$12=0,0,H18/H$12)</f>
        <v>0</v>
      </c>
      <c r="K18" s="5"/>
      <c r="L18" s="23">
        <f t="shared" ref="L18:L27" si="2">+D18-H18</f>
        <v>-9321.1899999999987</v>
      </c>
      <c r="M18" s="5"/>
      <c r="N18" s="29">
        <f t="shared" ref="N18:N27" si="3">IF(H18=0,0,L18/H18)</f>
        <v>-0.24851205076250396</v>
      </c>
      <c r="O18" s="11"/>
      <c r="P18" s="23" cm="1">
        <f t="array" ref="P18">SUM(OSRRefP22x_0)</f>
        <v>269484.89999999997</v>
      </c>
      <c r="Q18" s="23"/>
      <c r="R18" s="29">
        <f t="shared" ref="R18:R27" si="4">IF(P$12=0,0,P18/P$12)</f>
        <v>0</v>
      </c>
      <c r="S18" s="23"/>
      <c r="T18" s="23" cm="1">
        <f t="array" ref="T18">SUM(OSRRefT22x_0)</f>
        <v>372564</v>
      </c>
      <c r="U18" s="23"/>
      <c r="V18" s="29">
        <f t="shared" ref="V18:V27" si="5">IF(T$12=0,0,T18/T$12)</f>
        <v>0</v>
      </c>
      <c r="W18" s="5"/>
      <c r="X18" s="23">
        <f t="shared" ref="X18:X27" si="6">+P18-T18</f>
        <v>-103079.10000000003</v>
      </c>
      <c r="Y18" s="5"/>
      <c r="Z18" s="29">
        <f t="shared" ref="Z18:Z27" si="7">IF(T18=0,0,X18/T18)</f>
        <v>-0.27667488002061402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26491.86</v>
      </c>
      <c r="E19" s="2"/>
      <c r="F19" s="6">
        <f t="shared" si="0"/>
        <v>0</v>
      </c>
      <c r="G19" s="2"/>
      <c r="H19" s="2">
        <f>SUM(OSRRefH22_0x_0)</f>
        <v>35000</v>
      </c>
      <c r="I19" s="2"/>
      <c r="J19" s="6">
        <f t="shared" si="1"/>
        <v>0</v>
      </c>
      <c r="K19" s="2"/>
      <c r="L19" s="2">
        <f t="shared" si="2"/>
        <v>-8508.14</v>
      </c>
      <c r="M19" s="2"/>
      <c r="N19" s="6">
        <f t="shared" si="3"/>
        <v>-0.24308971428571427</v>
      </c>
      <c r="O19" s="14"/>
      <c r="P19" s="2">
        <f>SUM(OSRRefP22_0x_0)</f>
        <v>218700.08</v>
      </c>
      <c r="Q19" s="2"/>
      <c r="R19" s="6">
        <f t="shared" si="4"/>
        <v>0</v>
      </c>
      <c r="S19" s="2"/>
      <c r="T19" s="2">
        <f>SUM(OSRRefT22_0x_0)</f>
        <v>280000</v>
      </c>
      <c r="U19" s="2"/>
      <c r="V19" s="6">
        <f t="shared" si="5"/>
        <v>0</v>
      </c>
      <c r="W19" s="2"/>
      <c r="X19" s="2">
        <f t="shared" si="6"/>
        <v>-61299.920000000013</v>
      </c>
      <c r="Y19" s="2"/>
      <c r="Z19" s="6">
        <f t="shared" si="7"/>
        <v>-0.21892828571428577</v>
      </c>
    </row>
    <row r="20" spans="1:26" s="70" customFormat="1" ht="15" hidden="1" customHeight="1" outlineLevel="2" x14ac:dyDescent="0.3">
      <c r="A20" s="26"/>
      <c r="B20" s="12" t="str">
        <f>CONCATENATE("          ","6120"," - ","RETIREES HEALTH INSURANCE")</f>
        <v xml:space="preserve">          6120 - RETIREES HEALTH INSURANCE</v>
      </c>
      <c r="C20" s="12"/>
      <c r="D20" s="8">
        <v>26491.86</v>
      </c>
      <c r="E20" s="3"/>
      <c r="F20" s="7">
        <f t="shared" si="0"/>
        <v>0</v>
      </c>
      <c r="G20" s="3"/>
      <c r="H20" s="8">
        <v>35000</v>
      </c>
      <c r="I20" s="3"/>
      <c r="J20" s="7">
        <f t="shared" si="1"/>
        <v>0</v>
      </c>
      <c r="K20" s="3"/>
      <c r="L20" s="8">
        <f t="shared" si="2"/>
        <v>-8508.14</v>
      </c>
      <c r="M20" s="3"/>
      <c r="N20" s="7">
        <f t="shared" si="3"/>
        <v>-0.24308971428571427</v>
      </c>
      <c r="O20" s="12"/>
      <c r="P20" s="8">
        <v>218700.08</v>
      </c>
      <c r="Q20" s="3"/>
      <c r="R20" s="7">
        <f t="shared" si="4"/>
        <v>0</v>
      </c>
      <c r="S20" s="3"/>
      <c r="T20" s="8">
        <v>280000</v>
      </c>
      <c r="U20" s="3"/>
      <c r="V20" s="7">
        <f t="shared" si="5"/>
        <v>0</v>
      </c>
      <c r="W20" s="3"/>
      <c r="X20" s="8">
        <f t="shared" si="6"/>
        <v>-61299.920000000013</v>
      </c>
      <c r="Y20" s="3"/>
      <c r="Z20" s="7">
        <f t="shared" si="7"/>
        <v>-0.21892828571428577</v>
      </c>
    </row>
    <row r="21" spans="1:26" s="69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256.75</v>
      </c>
      <c r="E21" s="2"/>
      <c r="F21" s="6">
        <f t="shared" si="0"/>
        <v>0</v>
      </c>
      <c r="G21" s="2"/>
      <c r="H21" s="2">
        <f>SUM(OSRRefH22_1x_0)</f>
        <v>1000</v>
      </c>
      <c r="I21" s="2"/>
      <c r="J21" s="6">
        <f t="shared" si="1"/>
        <v>0</v>
      </c>
      <c r="K21" s="2"/>
      <c r="L21" s="2">
        <f t="shared" si="2"/>
        <v>-743.25</v>
      </c>
      <c r="M21" s="2"/>
      <c r="N21" s="6">
        <f t="shared" si="3"/>
        <v>-0.74324999999999997</v>
      </c>
      <c r="O21" s="14"/>
      <c r="P21" s="2">
        <f>SUM(OSRRefP22_1x_0)</f>
        <v>9535.83</v>
      </c>
      <c r="Q21" s="2"/>
      <c r="R21" s="6">
        <f t="shared" si="4"/>
        <v>0</v>
      </c>
      <c r="S21" s="2"/>
      <c r="T21" s="2">
        <f>SUM(OSRRefT22_1x_0)</f>
        <v>29000</v>
      </c>
      <c r="U21" s="2"/>
      <c r="V21" s="6">
        <f t="shared" si="5"/>
        <v>0</v>
      </c>
      <c r="W21" s="2"/>
      <c r="X21" s="2">
        <f t="shared" si="6"/>
        <v>-19464.169999999998</v>
      </c>
      <c r="Y21" s="2"/>
      <c r="Z21" s="6">
        <f t="shared" si="7"/>
        <v>-0.67117827586206891</v>
      </c>
    </row>
    <row r="22" spans="1:26" s="70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8">
        <v>256.75</v>
      </c>
      <c r="E22" s="3"/>
      <c r="F22" s="7">
        <f t="shared" si="0"/>
        <v>0</v>
      </c>
      <c r="G22" s="3"/>
      <c r="H22" s="8">
        <v>1000</v>
      </c>
      <c r="I22" s="3"/>
      <c r="J22" s="7">
        <f t="shared" si="1"/>
        <v>0</v>
      </c>
      <c r="K22" s="3"/>
      <c r="L22" s="8">
        <f t="shared" si="2"/>
        <v>-743.25</v>
      </c>
      <c r="M22" s="3"/>
      <c r="N22" s="7">
        <f t="shared" si="3"/>
        <v>-0.74324999999999997</v>
      </c>
      <c r="O22" s="12"/>
      <c r="P22" s="8">
        <v>9535.83</v>
      </c>
      <c r="Q22" s="3"/>
      <c r="R22" s="7">
        <f t="shared" si="4"/>
        <v>0</v>
      </c>
      <c r="S22" s="3"/>
      <c r="T22" s="8">
        <v>29000</v>
      </c>
      <c r="U22" s="3"/>
      <c r="V22" s="7">
        <f t="shared" si="5"/>
        <v>0</v>
      </c>
      <c r="W22" s="3"/>
      <c r="X22" s="8">
        <f t="shared" si="6"/>
        <v>-19464.169999999998</v>
      </c>
      <c r="Y22" s="3"/>
      <c r="Z22" s="7">
        <f t="shared" si="7"/>
        <v>-0.67117827586206891</v>
      </c>
    </row>
    <row r="23" spans="1:26" s="69" customFormat="1" ht="15" customHeight="1" outlineLevel="1" collapsed="1" x14ac:dyDescent="0.3">
      <c r="A23" s="25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1438.2</v>
      </c>
      <c r="E23" s="2"/>
      <c r="F23" s="6">
        <f t="shared" si="0"/>
        <v>0</v>
      </c>
      <c r="G23" s="2"/>
      <c r="H23" s="2">
        <f>SUM(OSRRefH22_2x_0)</f>
        <v>1508</v>
      </c>
      <c r="I23" s="2"/>
      <c r="J23" s="6">
        <f t="shared" si="1"/>
        <v>0</v>
      </c>
      <c r="K23" s="2"/>
      <c r="L23" s="2">
        <f t="shared" si="2"/>
        <v>-69.799999999999955</v>
      </c>
      <c r="M23" s="2"/>
      <c r="N23" s="6">
        <f t="shared" si="3"/>
        <v>-4.6286472148541084E-2</v>
      </c>
      <c r="O23" s="14"/>
      <c r="P23" s="2">
        <f>SUM(OSRRefP22_2x_0)</f>
        <v>10085.74</v>
      </c>
      <c r="Q23" s="2"/>
      <c r="R23" s="6">
        <f t="shared" si="4"/>
        <v>0</v>
      </c>
      <c r="S23" s="2"/>
      <c r="T23" s="2">
        <f>SUM(OSRRefT22_2x_0)</f>
        <v>13564</v>
      </c>
      <c r="U23" s="2"/>
      <c r="V23" s="6">
        <f t="shared" si="5"/>
        <v>0</v>
      </c>
      <c r="W23" s="2"/>
      <c r="X23" s="2">
        <f t="shared" si="6"/>
        <v>-3478.26</v>
      </c>
      <c r="Y23" s="2"/>
      <c r="Z23" s="6">
        <f t="shared" si="7"/>
        <v>-0.25643320554408733</v>
      </c>
    </row>
    <row r="24" spans="1:26" s="70" customFormat="1" ht="15" hidden="1" customHeight="1" outlineLevel="2" x14ac:dyDescent="0.3">
      <c r="A24" s="26"/>
      <c r="B24" s="12" t="str">
        <f>CONCATENATE("          ","6397"," - ","BOARD EXPENSES")</f>
        <v xml:space="preserve">          6397 - BOARD EXPENSES</v>
      </c>
      <c r="C24" s="12"/>
      <c r="D24" s="8">
        <v>1438.2</v>
      </c>
      <c r="E24" s="3"/>
      <c r="F24" s="7">
        <f t="shared" si="0"/>
        <v>0</v>
      </c>
      <c r="G24" s="3"/>
      <c r="H24" s="8">
        <v>1508</v>
      </c>
      <c r="I24" s="3"/>
      <c r="J24" s="7">
        <f t="shared" si="1"/>
        <v>0</v>
      </c>
      <c r="K24" s="3"/>
      <c r="L24" s="8">
        <f t="shared" si="2"/>
        <v>-69.799999999999955</v>
      </c>
      <c r="M24" s="3"/>
      <c r="N24" s="7">
        <f t="shared" si="3"/>
        <v>-4.6286472148541084E-2</v>
      </c>
      <c r="O24" s="12"/>
      <c r="P24" s="8">
        <v>10085.74</v>
      </c>
      <c r="Q24" s="3"/>
      <c r="R24" s="7">
        <f t="shared" si="4"/>
        <v>0</v>
      </c>
      <c r="S24" s="3"/>
      <c r="T24" s="8">
        <v>13564</v>
      </c>
      <c r="U24" s="3"/>
      <c r="V24" s="7">
        <f t="shared" si="5"/>
        <v>0</v>
      </c>
      <c r="W24" s="3"/>
      <c r="X24" s="8">
        <f t="shared" si="6"/>
        <v>-3478.26</v>
      </c>
      <c r="Y24" s="3"/>
      <c r="Z24" s="7">
        <f t="shared" si="7"/>
        <v>-0.25643320554408733</v>
      </c>
    </row>
    <row r="25" spans="1:26" s="69" customFormat="1" ht="15" customHeight="1" outlineLevel="1" collapsed="1" x14ac:dyDescent="0.3">
      <c r="A25" s="25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31163.25</v>
      </c>
      <c r="Q25" s="2"/>
      <c r="R25" s="6">
        <f t="shared" si="4"/>
        <v>0</v>
      </c>
      <c r="S25" s="2"/>
      <c r="T25" s="2">
        <f>SUM(OSRRefT22_3x_0)</f>
        <v>50000</v>
      </c>
      <c r="U25" s="2"/>
      <c r="V25" s="6">
        <f t="shared" si="5"/>
        <v>0</v>
      </c>
      <c r="W25" s="2"/>
      <c r="X25" s="2">
        <f t="shared" si="6"/>
        <v>-18836.75</v>
      </c>
      <c r="Y25" s="2"/>
      <c r="Z25" s="6">
        <f t="shared" si="7"/>
        <v>-0.37673499999999999</v>
      </c>
    </row>
    <row r="26" spans="1:26" s="70" customFormat="1" ht="15" hidden="1" customHeight="1" outlineLevel="2" x14ac:dyDescent="0.3">
      <c r="A26" s="26"/>
      <c r="B26" s="12" t="str">
        <f>CONCATENATE("          ","6331"," - ","INDIRECT COSTS-AUXILIARY ORGAN")</f>
        <v xml:space="preserve">          6331 - INDIRECT COSTS-AUXILIARY ORGAN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31163.25</v>
      </c>
      <c r="Q26" s="3"/>
      <c r="R26" s="7">
        <f t="shared" si="4"/>
        <v>0</v>
      </c>
      <c r="S26" s="3"/>
      <c r="T26" s="8">
        <v>39000</v>
      </c>
      <c r="U26" s="3"/>
      <c r="V26" s="7">
        <f t="shared" si="5"/>
        <v>0</v>
      </c>
      <c r="W26" s="3"/>
      <c r="X26" s="8">
        <f t="shared" si="6"/>
        <v>-7836.75</v>
      </c>
      <c r="Y26" s="3"/>
      <c r="Z26" s="7">
        <f t="shared" si="7"/>
        <v>-0.2009423076923077</v>
      </c>
    </row>
    <row r="27" spans="1:26" s="70" customFormat="1" ht="15" hidden="1" customHeight="1" outlineLevel="2" x14ac:dyDescent="0.3">
      <c r="A27" s="26"/>
      <c r="B27" s="12" t="str">
        <f>CONCATENATE("          ","6332"," - ","CONSULTANT FEES")</f>
        <v xml:space="preserve">          6332 - CONSULTANT FEES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11000</v>
      </c>
      <c r="U27" s="3"/>
      <c r="V27" s="7">
        <f t="shared" si="5"/>
        <v>0</v>
      </c>
      <c r="W27" s="3"/>
      <c r="X27" s="8">
        <f t="shared" si="6"/>
        <v>-11000</v>
      </c>
      <c r="Y27" s="3"/>
      <c r="Z27" s="7">
        <f t="shared" si="7"/>
        <v>-1</v>
      </c>
    </row>
    <row r="28" spans="1:26" s="65" customFormat="1" ht="15" customHeight="1" x14ac:dyDescent="0.3">
      <c r="A28" s="35"/>
      <c r="B28" s="35"/>
      <c r="C28" s="35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5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3" customFormat="1" ht="15" customHeight="1" x14ac:dyDescent="0.3">
      <c r="A29" s="11"/>
      <c r="B29" s="27" t="s">
        <v>291</v>
      </c>
      <c r="C29" s="11"/>
      <c r="D29" s="5">
        <f>SUM(0)</f>
        <v>0</v>
      </c>
      <c r="E29" s="5"/>
      <c r="F29" s="13">
        <f>IF(D$12=0,0,D29/D$12)</f>
        <v>0</v>
      </c>
      <c r="G29" s="5"/>
      <c r="H29" s="5">
        <f>SUM(0)</f>
        <v>0</v>
      </c>
      <c r="I29" s="5"/>
      <c r="J29" s="13">
        <f>IF(H$12=0,0,H29/H$12)</f>
        <v>0</v>
      </c>
      <c r="K29" s="5"/>
      <c r="L29" s="5">
        <f>+D29-H29</f>
        <v>0</v>
      </c>
      <c r="M29" s="5"/>
      <c r="N29" s="13">
        <f>IF(H29=0,0,L29/H29)</f>
        <v>0</v>
      </c>
      <c r="O29" s="11"/>
      <c r="P29" s="5">
        <f>SUM(0)</f>
        <v>0</v>
      </c>
      <c r="Q29" s="5"/>
      <c r="R29" s="13">
        <f>IF(P$12=0,0,P29/P$12)</f>
        <v>0</v>
      </c>
      <c r="S29" s="5"/>
      <c r="T29" s="5">
        <f>SUM(0)</f>
        <v>0</v>
      </c>
      <c r="U29" s="5"/>
      <c r="V29" s="13">
        <f>IF(T$12=0,0,T29/T$12)</f>
        <v>0</v>
      </c>
      <c r="W29" s="5"/>
      <c r="X29" s="5">
        <f>+P29-T29</f>
        <v>0</v>
      </c>
      <c r="Y29" s="5"/>
      <c r="Z29" s="13">
        <f>IF(T29=0,0,X29/T29)</f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292</v>
      </c>
      <c r="C31" s="28"/>
      <c r="D31" s="21">
        <f>+D16-D18+D29</f>
        <v>-28186.81</v>
      </c>
      <c r="E31" s="15"/>
      <c r="F31" s="22">
        <f>IF(D$12=0,0,D31/D$12)</f>
        <v>0</v>
      </c>
      <c r="G31" s="15"/>
      <c r="H31" s="21">
        <f>+H16-H18+H29</f>
        <v>-37508</v>
      </c>
      <c r="I31" s="15"/>
      <c r="J31" s="22">
        <f>IF(H$12=0,0,H31/H$12)</f>
        <v>0</v>
      </c>
      <c r="K31" s="16"/>
      <c r="L31" s="21">
        <f>+D31-H31</f>
        <v>9321.1899999999987</v>
      </c>
      <c r="M31" s="16"/>
      <c r="N31" s="22">
        <f>IF(H31=0,0,L31/H31)</f>
        <v>-0.24851205076250396</v>
      </c>
      <c r="O31" s="27"/>
      <c r="P31" s="21">
        <f>+P16-P18+P29</f>
        <v>-269484.89999999997</v>
      </c>
      <c r="Q31" s="15"/>
      <c r="R31" s="22">
        <f>IF(P$12=0,0,P31/P$12)</f>
        <v>0</v>
      </c>
      <c r="S31" s="15"/>
      <c r="T31" s="21">
        <f>+T16-T18+T29</f>
        <v>-372564</v>
      </c>
      <c r="U31" s="15"/>
      <c r="V31" s="22">
        <f>IF(T$12=0,0,T31/T$12)</f>
        <v>0</v>
      </c>
      <c r="W31" s="16"/>
      <c r="X31" s="21">
        <f>+P31-T31</f>
        <v>103079.10000000003</v>
      </c>
      <c r="Y31" s="16"/>
      <c r="Z31" s="22">
        <f>IF(T31=0,0,X31/T31)</f>
        <v>-0.27667488002061402</v>
      </c>
    </row>
    <row r="32" spans="1:26" ht="15" customHeight="1" x14ac:dyDescent="0.3">
      <c r="A32" s="10"/>
      <c r="B32" s="11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293</v>
      </c>
      <c r="C33" s="11"/>
      <c r="D33" s="5"/>
      <c r="E33" s="5"/>
      <c r="F33" s="13">
        <f>IF(D$12=0,0,D33/D$12)</f>
        <v>0</v>
      </c>
      <c r="G33" s="5"/>
      <c r="H33" s="5"/>
      <c r="I33" s="5"/>
      <c r="J33" s="13">
        <f>IF(H$12=0,0,H33/H$12)</f>
        <v>0</v>
      </c>
      <c r="K33" s="5"/>
      <c r="L33" s="5">
        <f>+D33-H33</f>
        <v>0</v>
      </c>
      <c r="M33" s="5"/>
      <c r="N33" s="13">
        <f>IF(H33=0,0,L33/H33)</f>
        <v>0</v>
      </c>
      <c r="O33" s="11"/>
      <c r="P33" s="5"/>
      <c r="Q33" s="5"/>
      <c r="R33" s="13">
        <f>IF(P$12=0,0,P33/P$12)</f>
        <v>0</v>
      </c>
      <c r="S33" s="5"/>
      <c r="T33" s="5"/>
      <c r="U33" s="5"/>
      <c r="V33" s="13">
        <f>IF(T$12=0,0,T33/T$12)</f>
        <v>0</v>
      </c>
      <c r="W33" s="5"/>
      <c r="X33" s="5">
        <f>+P33-T33</f>
        <v>0</v>
      </c>
      <c r="Y33" s="5"/>
      <c r="Z33" s="13">
        <f>IF(T33=0,0,X33/T33)</f>
        <v>0</v>
      </c>
    </row>
    <row r="34" spans="1:26" ht="15" customHeight="1" x14ac:dyDescent="0.3">
      <c r="A34" s="10"/>
      <c r="B34" s="11"/>
      <c r="C34" s="11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O34" s="11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8" t="s">
        <v>294</v>
      </c>
      <c r="C35" s="28"/>
      <c r="D35" s="33">
        <f>+D31-D33</f>
        <v>-28186.81</v>
      </c>
      <c r="E35" s="15"/>
      <c r="F35" s="32">
        <f>IF(D$12=0,0,D35/D$12)</f>
        <v>0</v>
      </c>
      <c r="G35" s="15"/>
      <c r="H35" s="33">
        <f>+H31-H33</f>
        <v>-37508</v>
      </c>
      <c r="I35" s="15"/>
      <c r="J35" s="32">
        <f>IF(H$12=0,0,H35/H$12)</f>
        <v>0</v>
      </c>
      <c r="K35" s="16"/>
      <c r="L35" s="33">
        <f>D35-H35</f>
        <v>9321.1899999999987</v>
      </c>
      <c r="M35" s="16"/>
      <c r="N35" s="32">
        <f>IF(H35=0,0,L35/H35)</f>
        <v>-0.24851205076250396</v>
      </c>
      <c r="O35" s="27"/>
      <c r="P35" s="33">
        <f>+P31-P33</f>
        <v>-269484.89999999997</v>
      </c>
      <c r="Q35" s="15"/>
      <c r="R35" s="32">
        <f>IF(P$12=0,0,P35/P$12)</f>
        <v>0</v>
      </c>
      <c r="S35" s="15"/>
      <c r="T35" s="33">
        <f>+T31-T33</f>
        <v>-372564</v>
      </c>
      <c r="U35" s="15"/>
      <c r="V35" s="32">
        <f>IF(T$12=0,0,T35/T$12)</f>
        <v>0</v>
      </c>
      <c r="W35" s="16"/>
      <c r="X35" s="33">
        <f>P35-T35</f>
        <v>103079.10000000003</v>
      </c>
      <c r="Y35" s="16"/>
      <c r="Z35" s="32">
        <f>IF(T35=0,0,X35/T35)</f>
        <v>-0.27667488002061402</v>
      </c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3">
      <c r="A38" s="11"/>
      <c r="B38" s="28" t="s">
        <v>297</v>
      </c>
      <c r="C38" s="28"/>
      <c r="D38" s="34">
        <f>SUM(D35:D37)</f>
        <v>-28186.81</v>
      </c>
      <c r="E38" s="15"/>
      <c r="F38" s="30">
        <f>IF(D$12=0,0,D38/D$12)</f>
        <v>0</v>
      </c>
      <c r="G38" s="15"/>
      <c r="H38" s="34">
        <f>SUM(H35:H37)</f>
        <v>-37508</v>
      </c>
      <c r="I38" s="15"/>
      <c r="J38" s="30">
        <f>IF(H$12=0,0,H38/H$12)</f>
        <v>0</v>
      </c>
      <c r="K38" s="16"/>
      <c r="L38" s="34">
        <f>+D38-H38</f>
        <v>9321.1899999999987</v>
      </c>
      <c r="M38" s="16"/>
      <c r="N38" s="30">
        <f>IF(H38=0,0,L38/H38)</f>
        <v>-0.24851205076250396</v>
      </c>
      <c r="O38" s="27"/>
      <c r="P38" s="34">
        <f>SUM(P35:P37)</f>
        <v>-269484.89999999997</v>
      </c>
      <c r="Q38" s="15"/>
      <c r="R38" s="30">
        <f>IF(P$12=0,0,P38/P$12)</f>
        <v>0</v>
      </c>
      <c r="S38" s="15"/>
      <c r="T38" s="34">
        <f>SUM(T35:T37)</f>
        <v>-372564</v>
      </c>
      <c r="U38" s="15"/>
      <c r="V38" s="30">
        <f>IF(T$12=0,0,T38/T$12)</f>
        <v>0</v>
      </c>
      <c r="W38" s="16"/>
      <c r="X38" s="34">
        <f>+P38-T38</f>
        <v>103079.10000000003</v>
      </c>
      <c r="Y38" s="16"/>
      <c r="Z38" s="30">
        <f>IF(T38=0,0,X38/T38)</f>
        <v>-0.27667488002061402</v>
      </c>
    </row>
    <row r="39" spans="1:26" ht="15" customHeight="1" x14ac:dyDescent="0.3">
      <c r="A39" s="10"/>
      <c r="C39" s="10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7">
        <v>44634.883430555557</v>
      </c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0"/>
      <c r="B41" s="56" t="s">
        <v>298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0"/>
      <c r="B42" s="54"/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A3A98-AB7D-6372-FA5F-89814123CA69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","201"," - ","General Manager")</f>
        <v>Department 201 - General Manager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34901.280000000006</v>
      </c>
      <c r="E18" s="23"/>
      <c r="F18" s="29">
        <f t="shared" ref="F18:F49" si="0">IF(D$12=0,0,D18/D$12)</f>
        <v>0</v>
      </c>
      <c r="G18" s="23"/>
      <c r="H18" s="23" cm="1">
        <f t="array" ref="H18">SUM(OSRRefH22x_0)</f>
        <v>39107.928969230801</v>
      </c>
      <c r="I18" s="23"/>
      <c r="J18" s="29">
        <f t="shared" ref="J18:J49" si="1">IF(H$12=0,0,H18/H$12)</f>
        <v>0</v>
      </c>
      <c r="K18" s="5"/>
      <c r="L18" s="23">
        <f t="shared" ref="L18:L49" si="2">+D18-H18</f>
        <v>-4206.648969230795</v>
      </c>
      <c r="M18" s="5"/>
      <c r="N18" s="29">
        <f t="shared" ref="N18:N49" si="3">IF(H18=0,0,L18/H18)</f>
        <v>-0.10756511735869438</v>
      </c>
      <c r="O18" s="11"/>
      <c r="P18" s="23" cm="1">
        <f t="array" ref="P18">SUM(OSRRefP22x_0)</f>
        <v>391326.17000000004</v>
      </c>
      <c r="Q18" s="23"/>
      <c r="R18" s="29">
        <f t="shared" ref="R18:R49" si="4">IF(P$12=0,0,P18/P$12)</f>
        <v>0</v>
      </c>
      <c r="S18" s="23"/>
      <c r="T18" s="23" cm="1">
        <f t="array" ref="T18">SUM(OSRRefT22x_0)</f>
        <v>402603.91905769223</v>
      </c>
      <c r="U18" s="23"/>
      <c r="V18" s="29">
        <f t="shared" ref="V18:V49" si="5">IF(T$12=0,0,T18/T$12)</f>
        <v>0</v>
      </c>
      <c r="W18" s="5"/>
      <c r="X18" s="23">
        <f t="shared" ref="X18:X49" si="6">+P18-T18</f>
        <v>-11277.749057692185</v>
      </c>
      <c r="Y18" s="5"/>
      <c r="Z18" s="29">
        <f t="shared" ref="Z18:Z49" si="7">IF(T18=0,0,X18/T18)</f>
        <v>-2.8012020062020582E-2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11362.02</v>
      </c>
      <c r="E19" s="2"/>
      <c r="F19" s="6">
        <f t="shared" si="0"/>
        <v>0</v>
      </c>
      <c r="G19" s="2"/>
      <c r="H19" s="2">
        <f>SUM(OSRRefH22_0x_0)</f>
        <v>10715.590507692315</v>
      </c>
      <c r="I19" s="2"/>
      <c r="J19" s="6">
        <f t="shared" si="1"/>
        <v>0</v>
      </c>
      <c r="K19" s="2"/>
      <c r="L19" s="2">
        <f t="shared" si="2"/>
        <v>646.429492307685</v>
      </c>
      <c r="M19" s="2"/>
      <c r="N19" s="6">
        <f t="shared" si="3"/>
        <v>6.0326072729602519E-2</v>
      </c>
      <c r="O19" s="14"/>
      <c r="P19" s="2">
        <f>SUM(OSRRefP22_0x_0)</f>
        <v>117446.51</v>
      </c>
      <c r="Q19" s="2"/>
      <c r="R19" s="6">
        <f t="shared" si="4"/>
        <v>0</v>
      </c>
      <c r="S19" s="2"/>
      <c r="T19" s="2">
        <f>SUM(OSRRefT22_0x_0)</f>
        <v>80108.303673076894</v>
      </c>
      <c r="U19" s="2"/>
      <c r="V19" s="6">
        <f t="shared" si="5"/>
        <v>0</v>
      </c>
      <c r="W19" s="2"/>
      <c r="X19" s="2">
        <f t="shared" si="6"/>
        <v>37338.2063269231</v>
      </c>
      <c r="Y19" s="2"/>
      <c r="Z19" s="6">
        <f t="shared" si="7"/>
        <v>0.46609657944201194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1722.88</v>
      </c>
      <c r="E20" s="3"/>
      <c r="F20" s="7">
        <f t="shared" si="0"/>
        <v>0</v>
      </c>
      <c r="G20" s="3"/>
      <c r="H20" s="8">
        <v>1951.0440461538501</v>
      </c>
      <c r="I20" s="3"/>
      <c r="J20" s="7">
        <f t="shared" si="1"/>
        <v>0</v>
      </c>
      <c r="K20" s="3"/>
      <c r="L20" s="8">
        <f t="shared" si="2"/>
        <v>-228.16404615384999</v>
      </c>
      <c r="M20" s="3"/>
      <c r="N20" s="7">
        <f t="shared" si="3"/>
        <v>-0.11694459005353386</v>
      </c>
      <c r="O20" s="12"/>
      <c r="P20" s="8">
        <v>13770.08</v>
      </c>
      <c r="Q20" s="3"/>
      <c r="R20" s="7">
        <f t="shared" si="4"/>
        <v>0</v>
      </c>
      <c r="S20" s="3"/>
      <c r="T20" s="8">
        <v>14727.1682884615</v>
      </c>
      <c r="U20" s="3"/>
      <c r="V20" s="7">
        <f t="shared" si="5"/>
        <v>0</v>
      </c>
      <c r="W20" s="3"/>
      <c r="X20" s="8">
        <f t="shared" si="6"/>
        <v>-957.08828846150027</v>
      </c>
      <c r="Y20" s="3"/>
      <c r="Z20" s="7">
        <f t="shared" si="7"/>
        <v>-6.4987937240546342E-2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289.61</v>
      </c>
      <c r="E21" s="3"/>
      <c r="F21" s="7">
        <f t="shared" si="0"/>
        <v>0</v>
      </c>
      <c r="G21" s="3"/>
      <c r="H21" s="8">
        <v>79.030923076923102</v>
      </c>
      <c r="I21" s="3"/>
      <c r="J21" s="7">
        <f t="shared" si="1"/>
        <v>0</v>
      </c>
      <c r="K21" s="3"/>
      <c r="L21" s="8">
        <f t="shared" si="2"/>
        <v>210.57907692307691</v>
      </c>
      <c r="M21" s="3"/>
      <c r="N21" s="7">
        <f t="shared" si="3"/>
        <v>2.6645149610376455</v>
      </c>
      <c r="O21" s="12"/>
      <c r="P21" s="8">
        <v>2739.47</v>
      </c>
      <c r="Q21" s="3"/>
      <c r="R21" s="7">
        <f t="shared" si="4"/>
        <v>0</v>
      </c>
      <c r="S21" s="3"/>
      <c r="T21" s="8">
        <v>596.55326923076905</v>
      </c>
      <c r="U21" s="3"/>
      <c r="V21" s="7">
        <f t="shared" si="5"/>
        <v>0</v>
      </c>
      <c r="W21" s="3"/>
      <c r="X21" s="8">
        <f t="shared" si="6"/>
        <v>2142.9167307692305</v>
      </c>
      <c r="Y21" s="3"/>
      <c r="Z21" s="7">
        <f t="shared" si="7"/>
        <v>3.5921632506220837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3588.59</v>
      </c>
      <c r="E22" s="3"/>
      <c r="F22" s="7">
        <f t="shared" si="0"/>
        <v>0</v>
      </c>
      <c r="G22" s="3"/>
      <c r="H22" s="8">
        <v>4050</v>
      </c>
      <c r="I22" s="3"/>
      <c r="J22" s="7">
        <f t="shared" si="1"/>
        <v>0</v>
      </c>
      <c r="K22" s="3"/>
      <c r="L22" s="8">
        <f t="shared" si="2"/>
        <v>-461.40999999999985</v>
      </c>
      <c r="M22" s="3"/>
      <c r="N22" s="7">
        <f t="shared" si="3"/>
        <v>-0.11392839506172836</v>
      </c>
      <c r="O22" s="12"/>
      <c r="P22" s="8">
        <v>30833.52</v>
      </c>
      <c r="Q22" s="3"/>
      <c r="R22" s="7">
        <f t="shared" si="4"/>
        <v>0</v>
      </c>
      <c r="S22" s="3"/>
      <c r="T22" s="8">
        <v>29636</v>
      </c>
      <c r="U22" s="3"/>
      <c r="V22" s="7">
        <f t="shared" si="5"/>
        <v>0</v>
      </c>
      <c r="W22" s="3"/>
      <c r="X22" s="8">
        <f t="shared" si="6"/>
        <v>1197.5200000000004</v>
      </c>
      <c r="Y22" s="3"/>
      <c r="Z22" s="7">
        <f t="shared" si="7"/>
        <v>4.0407612363341894E-2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58.37</v>
      </c>
      <c r="E23" s="3"/>
      <c r="F23" s="7">
        <f t="shared" si="0"/>
        <v>0</v>
      </c>
      <c r="G23" s="3"/>
      <c r="H23" s="8">
        <v>53.537076923076903</v>
      </c>
      <c r="I23" s="3"/>
      <c r="J23" s="7">
        <f t="shared" si="1"/>
        <v>0</v>
      </c>
      <c r="K23" s="3"/>
      <c r="L23" s="8">
        <f t="shared" si="2"/>
        <v>4.8329230769230946</v>
      </c>
      <c r="M23" s="3"/>
      <c r="N23" s="7">
        <f t="shared" si="3"/>
        <v>9.027244957484569E-2</v>
      </c>
      <c r="O23" s="12"/>
      <c r="P23" s="8">
        <v>552.14</v>
      </c>
      <c r="Q23" s="3"/>
      <c r="R23" s="7">
        <f t="shared" si="4"/>
        <v>0</v>
      </c>
      <c r="S23" s="3"/>
      <c r="T23" s="8">
        <v>404.11673076923103</v>
      </c>
      <c r="U23" s="3"/>
      <c r="V23" s="7">
        <f t="shared" si="5"/>
        <v>0</v>
      </c>
      <c r="W23" s="3"/>
      <c r="X23" s="8">
        <f t="shared" si="6"/>
        <v>148.02326923076896</v>
      </c>
      <c r="Y23" s="3"/>
      <c r="Z23" s="7">
        <f t="shared" si="7"/>
        <v>0.36628839629828874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2407.25</v>
      </c>
      <c r="E24" s="3"/>
      <c r="F24" s="7">
        <f t="shared" si="0"/>
        <v>0</v>
      </c>
      <c r="G24" s="3"/>
      <c r="H24" s="8">
        <v>2192.4707692307702</v>
      </c>
      <c r="I24" s="3"/>
      <c r="J24" s="7">
        <f t="shared" si="1"/>
        <v>0</v>
      </c>
      <c r="K24" s="3"/>
      <c r="L24" s="8">
        <f t="shared" si="2"/>
        <v>214.7792307692298</v>
      </c>
      <c r="M24" s="3"/>
      <c r="N24" s="7">
        <f t="shared" si="3"/>
        <v>9.7962186672429494E-2</v>
      </c>
      <c r="O24" s="12"/>
      <c r="P24" s="8">
        <v>17993.5</v>
      </c>
      <c r="Q24" s="3"/>
      <c r="R24" s="7">
        <f t="shared" si="4"/>
        <v>0</v>
      </c>
      <c r="S24" s="3"/>
      <c r="T24" s="8">
        <v>16549.5423076923</v>
      </c>
      <c r="U24" s="3"/>
      <c r="V24" s="7">
        <f t="shared" si="5"/>
        <v>0</v>
      </c>
      <c r="W24" s="3"/>
      <c r="X24" s="8">
        <f t="shared" si="6"/>
        <v>1443.9576923077002</v>
      </c>
      <c r="Y24" s="3"/>
      <c r="Z24" s="7">
        <f t="shared" si="7"/>
        <v>8.7250611857497856E-2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1984.64</v>
      </c>
      <c r="E26" s="3"/>
      <c r="F26" s="7">
        <f t="shared" si="0"/>
        <v>0</v>
      </c>
      <c r="G26" s="3"/>
      <c r="H26" s="8">
        <v>1274.6923076923099</v>
      </c>
      <c r="I26" s="3"/>
      <c r="J26" s="7">
        <f t="shared" si="1"/>
        <v>0</v>
      </c>
      <c r="K26" s="3"/>
      <c r="L26" s="8">
        <f t="shared" si="2"/>
        <v>709.9476923076902</v>
      </c>
      <c r="M26" s="3"/>
      <c r="N26" s="7">
        <f t="shared" si="3"/>
        <v>0.55695612817572604</v>
      </c>
      <c r="O26" s="12"/>
      <c r="P26" s="8">
        <v>21684.93</v>
      </c>
      <c r="Q26" s="3"/>
      <c r="R26" s="7">
        <f t="shared" si="4"/>
        <v>0</v>
      </c>
      <c r="S26" s="3"/>
      <c r="T26" s="8">
        <v>9621.8269230769401</v>
      </c>
      <c r="U26" s="3"/>
      <c r="V26" s="7">
        <f t="shared" si="5"/>
        <v>0</v>
      </c>
      <c r="W26" s="3"/>
      <c r="X26" s="8">
        <f t="shared" si="6"/>
        <v>12063.10307692306</v>
      </c>
      <c r="Y26" s="3"/>
      <c r="Z26" s="7">
        <f t="shared" si="7"/>
        <v>1.2537227257737276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1020.54</v>
      </c>
      <c r="E27" s="3"/>
      <c r="F27" s="7">
        <f t="shared" si="0"/>
        <v>0</v>
      </c>
      <c r="G27" s="3"/>
      <c r="H27" s="8">
        <v>764.81538461538503</v>
      </c>
      <c r="I27" s="3"/>
      <c r="J27" s="7">
        <f t="shared" si="1"/>
        <v>0</v>
      </c>
      <c r="K27" s="3"/>
      <c r="L27" s="8">
        <f t="shared" si="2"/>
        <v>255.72461538461494</v>
      </c>
      <c r="M27" s="3"/>
      <c r="N27" s="7">
        <f t="shared" si="3"/>
        <v>0.33436123348017543</v>
      </c>
      <c r="O27" s="12"/>
      <c r="P27" s="8">
        <v>28295.1</v>
      </c>
      <c r="Q27" s="3"/>
      <c r="R27" s="7">
        <f t="shared" si="4"/>
        <v>0</v>
      </c>
      <c r="S27" s="3"/>
      <c r="T27" s="8">
        <v>5773.0961538461597</v>
      </c>
      <c r="U27" s="3"/>
      <c r="V27" s="7">
        <f t="shared" si="5"/>
        <v>0</v>
      </c>
      <c r="W27" s="3"/>
      <c r="X27" s="8">
        <f t="shared" si="6"/>
        <v>22522.003846153839</v>
      </c>
      <c r="Y27" s="3"/>
      <c r="Z27" s="7">
        <f t="shared" si="7"/>
        <v>3.9012001958687628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290.14</v>
      </c>
      <c r="E28" s="3"/>
      <c r="F28" s="7">
        <f t="shared" si="0"/>
        <v>0</v>
      </c>
      <c r="G28" s="3"/>
      <c r="H28" s="8">
        <v>350</v>
      </c>
      <c r="I28" s="3"/>
      <c r="J28" s="7">
        <f t="shared" si="1"/>
        <v>0</v>
      </c>
      <c r="K28" s="3"/>
      <c r="L28" s="8">
        <f t="shared" si="2"/>
        <v>-59.860000000000014</v>
      </c>
      <c r="M28" s="3"/>
      <c r="N28" s="7">
        <f t="shared" si="3"/>
        <v>-0.17102857142857147</v>
      </c>
      <c r="O28" s="12"/>
      <c r="P28" s="8">
        <v>1577.77</v>
      </c>
      <c r="Q28" s="3"/>
      <c r="R28" s="7">
        <f t="shared" si="4"/>
        <v>0</v>
      </c>
      <c r="S28" s="3"/>
      <c r="T28" s="8">
        <v>2800</v>
      </c>
      <c r="U28" s="3"/>
      <c r="V28" s="7">
        <f t="shared" si="5"/>
        <v>0</v>
      </c>
      <c r="W28" s="3"/>
      <c r="X28" s="8">
        <f t="shared" si="6"/>
        <v>-1222.23</v>
      </c>
      <c r="Y28" s="3"/>
      <c r="Z28" s="7">
        <f t="shared" si="7"/>
        <v>-0.43651071428571431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19848.260000000002</v>
      </c>
      <c r="E29" s="2"/>
      <c r="F29" s="6">
        <f t="shared" si="0"/>
        <v>0</v>
      </c>
      <c r="G29" s="2"/>
      <c r="H29" s="2">
        <f>SUM(OSRRefH22_1x_0)</f>
        <v>23454.338461538489</v>
      </c>
      <c r="I29" s="2"/>
      <c r="J29" s="6">
        <f t="shared" si="1"/>
        <v>0</v>
      </c>
      <c r="K29" s="2"/>
      <c r="L29" s="2">
        <f t="shared" si="2"/>
        <v>-3606.0784615384873</v>
      </c>
      <c r="M29" s="2"/>
      <c r="N29" s="6">
        <f t="shared" si="3"/>
        <v>-0.15374888818339097</v>
      </c>
      <c r="O29" s="14"/>
      <c r="P29" s="2">
        <f>SUM(OSRRefP22_1x_0)</f>
        <v>167888.74000000002</v>
      </c>
      <c r="Q29" s="2"/>
      <c r="R29" s="6">
        <f t="shared" si="4"/>
        <v>0</v>
      </c>
      <c r="S29" s="2"/>
      <c r="T29" s="2">
        <f>SUM(OSRRefT22_1x_0)</f>
        <v>177041.61538461532</v>
      </c>
      <c r="U29" s="2"/>
      <c r="V29" s="6">
        <f t="shared" si="5"/>
        <v>0</v>
      </c>
      <c r="W29" s="2"/>
      <c r="X29" s="2">
        <f t="shared" si="6"/>
        <v>-9152.8753846152977</v>
      </c>
      <c r="Y29" s="2"/>
      <c r="Z29" s="6">
        <f t="shared" si="7"/>
        <v>-5.1699005144813376E-2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8">
        <v>14939.66</v>
      </c>
      <c r="E30" s="3"/>
      <c r="F30" s="7">
        <f t="shared" si="0"/>
        <v>0</v>
      </c>
      <c r="G30" s="3"/>
      <c r="H30" s="8">
        <v>18789.230769230799</v>
      </c>
      <c r="I30" s="3"/>
      <c r="J30" s="7">
        <f t="shared" si="1"/>
        <v>0</v>
      </c>
      <c r="K30" s="3"/>
      <c r="L30" s="8">
        <f t="shared" si="2"/>
        <v>-3849.5707692307988</v>
      </c>
      <c r="M30" s="3"/>
      <c r="N30" s="7">
        <f t="shared" si="3"/>
        <v>-0.20488176533202451</v>
      </c>
      <c r="O30" s="12"/>
      <c r="P30" s="8">
        <v>129321.36</v>
      </c>
      <c r="Q30" s="3"/>
      <c r="R30" s="7">
        <f t="shared" si="4"/>
        <v>0</v>
      </c>
      <c r="S30" s="3"/>
      <c r="T30" s="8">
        <v>136221.92307692301</v>
      </c>
      <c r="U30" s="3"/>
      <c r="V30" s="7">
        <f t="shared" si="5"/>
        <v>0</v>
      </c>
      <c r="W30" s="3"/>
      <c r="X30" s="8">
        <f t="shared" si="6"/>
        <v>-6900.5630769230047</v>
      </c>
      <c r="Y30" s="3"/>
      <c r="Z30" s="7">
        <f t="shared" si="7"/>
        <v>-5.0656773308260621E-2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8">
        <v>4837.72</v>
      </c>
      <c r="E31" s="3"/>
      <c r="F31" s="7">
        <f t="shared" si="0"/>
        <v>0</v>
      </c>
      <c r="G31" s="3"/>
      <c r="H31" s="8">
        <v>4665.1076923076898</v>
      </c>
      <c r="I31" s="3"/>
      <c r="J31" s="7">
        <f t="shared" si="1"/>
        <v>0</v>
      </c>
      <c r="K31" s="3"/>
      <c r="L31" s="8">
        <f t="shared" si="2"/>
        <v>172.61230769231042</v>
      </c>
      <c r="M31" s="3"/>
      <c r="N31" s="7">
        <f t="shared" si="3"/>
        <v>3.7000712325876504E-2</v>
      </c>
      <c r="O31" s="12"/>
      <c r="P31" s="8">
        <v>38437.279999999999</v>
      </c>
      <c r="Q31" s="3"/>
      <c r="R31" s="7">
        <f t="shared" si="4"/>
        <v>0</v>
      </c>
      <c r="S31" s="3"/>
      <c r="T31" s="8">
        <v>40819.692307692298</v>
      </c>
      <c r="U31" s="3"/>
      <c r="V31" s="7">
        <f t="shared" si="5"/>
        <v>0</v>
      </c>
      <c r="W31" s="3"/>
      <c r="X31" s="8">
        <f t="shared" si="6"/>
        <v>-2382.4123076922988</v>
      </c>
      <c r="Y31" s="3"/>
      <c r="Z31" s="7">
        <f t="shared" si="7"/>
        <v>-5.8364288729421496E-2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70.88</v>
      </c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70.88</v>
      </c>
      <c r="M33" s="3"/>
      <c r="N33" s="7">
        <f t="shared" si="3"/>
        <v>0</v>
      </c>
      <c r="O33" s="12"/>
      <c r="P33" s="8">
        <v>70.88</v>
      </c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70.88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59.22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59.22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250</v>
      </c>
      <c r="I40" s="2"/>
      <c r="J40" s="6">
        <f t="shared" si="1"/>
        <v>0</v>
      </c>
      <c r="K40" s="2"/>
      <c r="L40" s="2">
        <f t="shared" si="2"/>
        <v>-250</v>
      </c>
      <c r="M40" s="2"/>
      <c r="N40" s="6">
        <f t="shared" si="3"/>
        <v>-1</v>
      </c>
      <c r="O40" s="14"/>
      <c r="P40" s="2">
        <f>SUM(OSRRefP22_2x_0)</f>
        <v>1967.41</v>
      </c>
      <c r="Q40" s="2"/>
      <c r="R40" s="6">
        <f t="shared" si="4"/>
        <v>0</v>
      </c>
      <c r="S40" s="2"/>
      <c r="T40" s="2">
        <f>SUM(OSRRefT22_2x_0)</f>
        <v>1600</v>
      </c>
      <c r="U40" s="2"/>
      <c r="V40" s="6">
        <f t="shared" si="5"/>
        <v>0</v>
      </c>
      <c r="W40" s="2"/>
      <c r="X40" s="2">
        <f t="shared" si="6"/>
        <v>367.41000000000008</v>
      </c>
      <c r="Y40" s="2"/>
      <c r="Z40" s="6">
        <f t="shared" si="7"/>
        <v>0.22963125000000006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/>
      <c r="E41" s="3"/>
      <c r="F41" s="7">
        <f t="shared" si="0"/>
        <v>0</v>
      </c>
      <c r="G41" s="3"/>
      <c r="H41" s="8">
        <v>250</v>
      </c>
      <c r="I41" s="3"/>
      <c r="J41" s="7">
        <f t="shared" si="1"/>
        <v>0</v>
      </c>
      <c r="K41" s="3"/>
      <c r="L41" s="8">
        <f t="shared" si="2"/>
        <v>-250</v>
      </c>
      <c r="M41" s="3"/>
      <c r="N41" s="7">
        <f t="shared" si="3"/>
        <v>-1</v>
      </c>
      <c r="O41" s="12"/>
      <c r="P41" s="8">
        <v>1967.41</v>
      </c>
      <c r="Q41" s="3"/>
      <c r="R41" s="7">
        <f t="shared" si="4"/>
        <v>0</v>
      </c>
      <c r="S41" s="3"/>
      <c r="T41" s="8">
        <v>1600</v>
      </c>
      <c r="U41" s="3"/>
      <c r="V41" s="7">
        <f t="shared" si="5"/>
        <v>0</v>
      </c>
      <c r="W41" s="3"/>
      <c r="X41" s="8">
        <f t="shared" si="6"/>
        <v>367.41000000000008</v>
      </c>
      <c r="Y41" s="3"/>
      <c r="Z41" s="7">
        <f t="shared" si="7"/>
        <v>0.22963125000000006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314.87</v>
      </c>
      <c r="E42" s="2"/>
      <c r="F42" s="6">
        <f t="shared" si="0"/>
        <v>0</v>
      </c>
      <c r="G42" s="2"/>
      <c r="H42" s="2">
        <f>SUM(OSRRefH22_3x_0)</f>
        <v>315</v>
      </c>
      <c r="I42" s="2"/>
      <c r="J42" s="6">
        <f t="shared" si="1"/>
        <v>0</v>
      </c>
      <c r="K42" s="2"/>
      <c r="L42" s="2">
        <f t="shared" si="2"/>
        <v>-0.12999999999999545</v>
      </c>
      <c r="M42" s="2"/>
      <c r="N42" s="6">
        <f t="shared" si="3"/>
        <v>-4.1269841269839827E-4</v>
      </c>
      <c r="O42" s="14"/>
      <c r="P42" s="2">
        <f>SUM(OSRRefP22_3x_0)</f>
        <v>2518.96</v>
      </c>
      <c r="Q42" s="2"/>
      <c r="R42" s="6">
        <f t="shared" si="4"/>
        <v>0</v>
      </c>
      <c r="S42" s="2"/>
      <c r="T42" s="2">
        <f>SUM(OSRRefT22_3x_0)</f>
        <v>2520</v>
      </c>
      <c r="U42" s="2"/>
      <c r="V42" s="6">
        <f t="shared" si="5"/>
        <v>0</v>
      </c>
      <c r="W42" s="2"/>
      <c r="X42" s="2">
        <f t="shared" si="6"/>
        <v>-1.0399999999999636</v>
      </c>
      <c r="Y42" s="2"/>
      <c r="Z42" s="6">
        <f t="shared" si="7"/>
        <v>-4.1269841269839827E-4</v>
      </c>
    </row>
    <row r="43" spans="1:26" s="70" customFormat="1" ht="15" hidden="1" customHeight="1" outlineLevel="2" x14ac:dyDescent="0.3">
      <c r="A43" s="26"/>
      <c r="B43" s="12" t="str">
        <f>CONCATENATE("          ","6322"," - ","EQUIPMENT DEPRECIATION EXPENSE")</f>
        <v xml:space="preserve">          6322 - EQUIPMENT DEPRECIATION EXPENSE</v>
      </c>
      <c r="C43" s="12"/>
      <c r="D43" s="8">
        <v>314.87</v>
      </c>
      <c r="E43" s="3"/>
      <c r="F43" s="7">
        <f t="shared" si="0"/>
        <v>0</v>
      </c>
      <c r="G43" s="3"/>
      <c r="H43" s="8">
        <v>315</v>
      </c>
      <c r="I43" s="3"/>
      <c r="J43" s="7">
        <f t="shared" si="1"/>
        <v>0</v>
      </c>
      <c r="K43" s="3"/>
      <c r="L43" s="8">
        <f t="shared" si="2"/>
        <v>-0.12999999999999545</v>
      </c>
      <c r="M43" s="3"/>
      <c r="N43" s="7">
        <f t="shared" si="3"/>
        <v>-4.1269841269839827E-4</v>
      </c>
      <c r="O43" s="12"/>
      <c r="P43" s="8">
        <v>2518.96</v>
      </c>
      <c r="Q43" s="3"/>
      <c r="R43" s="7">
        <f t="shared" si="4"/>
        <v>0</v>
      </c>
      <c r="S43" s="3"/>
      <c r="T43" s="8">
        <v>2520</v>
      </c>
      <c r="U43" s="3"/>
      <c r="V43" s="7">
        <f t="shared" si="5"/>
        <v>0</v>
      </c>
      <c r="W43" s="3"/>
      <c r="X43" s="8">
        <f t="shared" si="6"/>
        <v>-1.0399999999999636</v>
      </c>
      <c r="Y43" s="3"/>
      <c r="Z43" s="7">
        <f t="shared" si="7"/>
        <v>-4.1269841269839827E-4</v>
      </c>
    </row>
    <row r="44" spans="1:26" s="69" customFormat="1" ht="15" customHeight="1" outlineLevel="1" collapsed="1" x14ac:dyDescent="0.3">
      <c r="A44" s="25"/>
      <c r="B44" s="14" t="str">
        <f>CONCATENATE("     ","Donations                                         ")</f>
        <v xml:space="preserve">     Donations             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500</v>
      </c>
      <c r="I44" s="2"/>
      <c r="J44" s="6">
        <f t="shared" si="1"/>
        <v>0</v>
      </c>
      <c r="K44" s="2"/>
      <c r="L44" s="2">
        <f t="shared" si="2"/>
        <v>-500</v>
      </c>
      <c r="M44" s="2"/>
      <c r="N44" s="6">
        <f t="shared" si="3"/>
        <v>-1</v>
      </c>
      <c r="O44" s="14"/>
      <c r="P44" s="2">
        <f>SUM(OSRRefP22_4x_0)</f>
        <v>25300</v>
      </c>
      <c r="Q44" s="2"/>
      <c r="R44" s="6">
        <f t="shared" si="4"/>
        <v>0</v>
      </c>
      <c r="S44" s="2"/>
      <c r="T44" s="2">
        <f>SUM(OSRRefT22_4x_0)</f>
        <v>52950</v>
      </c>
      <c r="U44" s="2"/>
      <c r="V44" s="6">
        <f t="shared" si="5"/>
        <v>0</v>
      </c>
      <c r="W44" s="2"/>
      <c r="X44" s="2">
        <f t="shared" si="6"/>
        <v>-27650</v>
      </c>
      <c r="Y44" s="2"/>
      <c r="Z44" s="6">
        <f t="shared" si="7"/>
        <v>-0.52219074598677995</v>
      </c>
    </row>
    <row r="45" spans="1:26" s="70" customFormat="1" ht="15" hidden="1" customHeight="1" outlineLevel="2" x14ac:dyDescent="0.3">
      <c r="A45" s="26"/>
      <c r="B45" s="12" t="str">
        <f>CONCATENATE("          ","6399"," - ","DONATION-ON CAMPUS")</f>
        <v xml:space="preserve">          6399 - DONATION-ON CAMPUS</v>
      </c>
      <c r="C45" s="12"/>
      <c r="D45" s="8"/>
      <c r="E45" s="3"/>
      <c r="F45" s="7">
        <f t="shared" si="0"/>
        <v>0</v>
      </c>
      <c r="G45" s="3"/>
      <c r="H45" s="8">
        <v>500</v>
      </c>
      <c r="I45" s="3"/>
      <c r="J45" s="7">
        <f t="shared" si="1"/>
        <v>0</v>
      </c>
      <c r="K45" s="3"/>
      <c r="L45" s="8">
        <f t="shared" si="2"/>
        <v>-500</v>
      </c>
      <c r="M45" s="3"/>
      <c r="N45" s="7">
        <f t="shared" si="3"/>
        <v>-1</v>
      </c>
      <c r="O45" s="12"/>
      <c r="P45" s="8">
        <v>25300</v>
      </c>
      <c r="Q45" s="3"/>
      <c r="R45" s="7">
        <f t="shared" si="4"/>
        <v>0</v>
      </c>
      <c r="S45" s="3"/>
      <c r="T45" s="8">
        <v>52950</v>
      </c>
      <c r="U45" s="3"/>
      <c r="V45" s="7">
        <f t="shared" si="5"/>
        <v>0</v>
      </c>
      <c r="W45" s="3"/>
      <c r="X45" s="8">
        <f t="shared" si="6"/>
        <v>-27650</v>
      </c>
      <c r="Y45" s="3"/>
      <c r="Z45" s="7">
        <f t="shared" si="7"/>
        <v>-0.52219074598677995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SUM(OSRRefD22_5x_0)</f>
        <v>0</v>
      </c>
      <c r="E46" s="2"/>
      <c r="F46" s="6">
        <f t="shared" si="0"/>
        <v>0</v>
      </c>
      <c r="G46" s="2"/>
      <c r="H46" s="2">
        <f>SUM(OSRRefH22_5x_0)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SUM(OSRRefP22_5x_0)</f>
        <v>635.58000000000004</v>
      </c>
      <c r="Q46" s="2"/>
      <c r="R46" s="6">
        <f t="shared" si="4"/>
        <v>0</v>
      </c>
      <c r="S46" s="2"/>
      <c r="T46" s="2">
        <f>SUM(OSRRefT22_5x_0)</f>
        <v>3000</v>
      </c>
      <c r="U46" s="2"/>
      <c r="V46" s="6">
        <f t="shared" si="5"/>
        <v>0</v>
      </c>
      <c r="W46" s="2"/>
      <c r="X46" s="2">
        <f t="shared" si="6"/>
        <v>-2364.42</v>
      </c>
      <c r="Y46" s="2"/>
      <c r="Z46" s="6">
        <f t="shared" si="7"/>
        <v>-0.78814000000000006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>
        <v>635.58000000000004</v>
      </c>
      <c r="Q47" s="3"/>
      <c r="R47" s="7">
        <f t="shared" si="4"/>
        <v>0</v>
      </c>
      <c r="S47" s="3"/>
      <c r="T47" s="8">
        <v>3000</v>
      </c>
      <c r="U47" s="3"/>
      <c r="V47" s="7">
        <f t="shared" si="5"/>
        <v>0</v>
      </c>
      <c r="W47" s="3"/>
      <c r="X47" s="8">
        <f t="shared" si="6"/>
        <v>-2364.42</v>
      </c>
      <c r="Y47" s="3"/>
      <c r="Z47" s="7">
        <f t="shared" si="7"/>
        <v>-0.78814000000000006</v>
      </c>
    </row>
    <row r="48" spans="1:26" s="69" customFormat="1" ht="15" customHeight="1" outlineLevel="1" collapsed="1" x14ac:dyDescent="0.3">
      <c r="A48" s="25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SUM(OSRRefD22_6x_0)</f>
        <v>117.71</v>
      </c>
      <c r="E48" s="2"/>
      <c r="F48" s="6">
        <f t="shared" si="0"/>
        <v>0</v>
      </c>
      <c r="G48" s="2"/>
      <c r="H48" s="2">
        <f>SUM(OSRRefH22_6x_0)</f>
        <v>118</v>
      </c>
      <c r="I48" s="2"/>
      <c r="J48" s="6">
        <f t="shared" si="1"/>
        <v>0</v>
      </c>
      <c r="K48" s="2"/>
      <c r="L48" s="2">
        <f t="shared" si="2"/>
        <v>-0.29000000000000625</v>
      </c>
      <c r="M48" s="2"/>
      <c r="N48" s="6">
        <f t="shared" si="3"/>
        <v>-2.457627118644121E-3</v>
      </c>
      <c r="O48" s="14"/>
      <c r="P48" s="2">
        <f>SUM(OSRRefP22_6x_0)</f>
        <v>941.68</v>
      </c>
      <c r="Q48" s="2"/>
      <c r="R48" s="6">
        <f t="shared" si="4"/>
        <v>0</v>
      </c>
      <c r="S48" s="2"/>
      <c r="T48" s="2">
        <f>SUM(OSRRefT22_6x_0)</f>
        <v>944</v>
      </c>
      <c r="U48" s="2"/>
      <c r="V48" s="6">
        <f t="shared" si="5"/>
        <v>0</v>
      </c>
      <c r="W48" s="2"/>
      <c r="X48" s="2">
        <f t="shared" si="6"/>
        <v>-2.32000000000005</v>
      </c>
      <c r="Y48" s="2"/>
      <c r="Z48" s="6">
        <f t="shared" si="7"/>
        <v>-2.457627118644121E-3</v>
      </c>
    </row>
    <row r="49" spans="1:26" s="70" customFormat="1" ht="15" hidden="1" customHeight="1" outlineLevel="2" x14ac:dyDescent="0.3">
      <c r="A49" s="26"/>
      <c r="B49" s="12" t="str">
        <f>CONCATENATE("          ","6351"," - ","EQUIPMENT RENTAL")</f>
        <v xml:space="preserve">          6351 - EQUIPMENT RENTAL</v>
      </c>
      <c r="C49" s="12"/>
      <c r="D49" s="8">
        <v>117.71</v>
      </c>
      <c r="E49" s="3"/>
      <c r="F49" s="7">
        <f t="shared" si="0"/>
        <v>0</v>
      </c>
      <c r="G49" s="3"/>
      <c r="H49" s="8">
        <v>118</v>
      </c>
      <c r="I49" s="3"/>
      <c r="J49" s="7">
        <f t="shared" si="1"/>
        <v>0</v>
      </c>
      <c r="K49" s="3"/>
      <c r="L49" s="8">
        <f t="shared" si="2"/>
        <v>-0.29000000000000625</v>
      </c>
      <c r="M49" s="3"/>
      <c r="N49" s="7">
        <f t="shared" si="3"/>
        <v>-2.457627118644121E-3</v>
      </c>
      <c r="O49" s="12"/>
      <c r="P49" s="8">
        <v>941.68</v>
      </c>
      <c r="Q49" s="3"/>
      <c r="R49" s="7">
        <f t="shared" si="4"/>
        <v>0</v>
      </c>
      <c r="S49" s="3"/>
      <c r="T49" s="8">
        <v>944</v>
      </c>
      <c r="U49" s="3"/>
      <c r="V49" s="7">
        <f t="shared" si="5"/>
        <v>0</v>
      </c>
      <c r="W49" s="3"/>
      <c r="X49" s="8">
        <f t="shared" si="6"/>
        <v>-2.32000000000005</v>
      </c>
      <c r="Y49" s="3"/>
      <c r="Z49" s="7">
        <f t="shared" si="7"/>
        <v>-2.457627118644121E-3</v>
      </c>
    </row>
    <row r="50" spans="1:26" s="69" customFormat="1" ht="15" customHeight="1" outlineLevel="1" collapsed="1" x14ac:dyDescent="0.3">
      <c r="A50" s="25"/>
      <c r="B50" s="14" t="str">
        <f>CONCATENATE("     ","Freight out/Postage                               ")</f>
        <v xml:space="preserve">     Freight out/Postage                               </v>
      </c>
      <c r="C50" s="14"/>
      <c r="D50" s="2">
        <f>SUM(OSRRefD22_7x_0)</f>
        <v>2.65</v>
      </c>
      <c r="E50" s="2"/>
      <c r="F50" s="6">
        <f t="shared" ref="F50:F71" si="8">IF(D$12=0,0,D50/D$12)</f>
        <v>0</v>
      </c>
      <c r="G50" s="2"/>
      <c r="H50" s="2">
        <f>SUM(OSRRefH22_7x_0)</f>
        <v>25</v>
      </c>
      <c r="I50" s="2"/>
      <c r="J50" s="6">
        <f t="shared" ref="J50:J71" si="9">IF(H$12=0,0,H50/H$12)</f>
        <v>0</v>
      </c>
      <c r="K50" s="2"/>
      <c r="L50" s="2">
        <f t="shared" ref="L50:L71" si="10">+D50-H50</f>
        <v>-22.35</v>
      </c>
      <c r="M50" s="2"/>
      <c r="N50" s="6">
        <f t="shared" ref="N50:N71" si="11">IF(H50=0,0,L50/H50)</f>
        <v>-0.89400000000000002</v>
      </c>
      <c r="O50" s="14"/>
      <c r="P50" s="2">
        <f>SUM(OSRRefP22_7x_0)</f>
        <v>32.17</v>
      </c>
      <c r="Q50" s="2"/>
      <c r="R50" s="6">
        <f t="shared" ref="R50:R71" si="12">IF(P$12=0,0,P50/P$12)</f>
        <v>0</v>
      </c>
      <c r="S50" s="2"/>
      <c r="T50" s="2">
        <f>SUM(OSRRefT22_7x_0)</f>
        <v>575</v>
      </c>
      <c r="U50" s="2"/>
      <c r="V50" s="6">
        <f t="shared" ref="V50:V71" si="13">IF(T$12=0,0,T50/T$12)</f>
        <v>0</v>
      </c>
      <c r="W50" s="2"/>
      <c r="X50" s="2">
        <f t="shared" ref="X50:X71" si="14">+P50-T50</f>
        <v>-542.83000000000004</v>
      </c>
      <c r="Y50" s="2"/>
      <c r="Z50" s="6">
        <f t="shared" ref="Z50:Z71" si="15">IF(T50=0,0,X50/T50)</f>
        <v>-0.94405217391304352</v>
      </c>
    </row>
    <row r="51" spans="1:26" s="70" customFormat="1" ht="15" hidden="1" customHeight="1" outlineLevel="2" x14ac:dyDescent="0.3">
      <c r="A51" s="26"/>
      <c r="B51" s="12" t="str">
        <f>CONCATENATE("          ","6307"," - ","POSTAGE")</f>
        <v xml:space="preserve">          6307 - POSTAGE</v>
      </c>
      <c r="C51" s="12"/>
      <c r="D51" s="8">
        <v>2.65</v>
      </c>
      <c r="E51" s="3"/>
      <c r="F51" s="7">
        <f t="shared" si="8"/>
        <v>0</v>
      </c>
      <c r="G51" s="3"/>
      <c r="H51" s="8">
        <v>25</v>
      </c>
      <c r="I51" s="3"/>
      <c r="J51" s="7">
        <f t="shared" si="9"/>
        <v>0</v>
      </c>
      <c r="K51" s="3"/>
      <c r="L51" s="8">
        <f t="shared" si="10"/>
        <v>-22.35</v>
      </c>
      <c r="M51" s="3"/>
      <c r="N51" s="7">
        <f t="shared" si="11"/>
        <v>-0.89400000000000002</v>
      </c>
      <c r="O51" s="12"/>
      <c r="P51" s="8">
        <v>32.17</v>
      </c>
      <c r="Q51" s="3"/>
      <c r="R51" s="7">
        <f t="shared" si="12"/>
        <v>0</v>
      </c>
      <c r="S51" s="3"/>
      <c r="T51" s="8">
        <v>575</v>
      </c>
      <c r="U51" s="3"/>
      <c r="V51" s="7">
        <f t="shared" si="13"/>
        <v>0</v>
      </c>
      <c r="W51" s="3"/>
      <c r="X51" s="8">
        <f t="shared" si="14"/>
        <v>-542.83000000000004</v>
      </c>
      <c r="Y51" s="3"/>
      <c r="Z51" s="7">
        <f t="shared" si="15"/>
        <v>-0.94405217391304352</v>
      </c>
    </row>
    <row r="52" spans="1:26" s="69" customFormat="1" ht="15" customHeight="1" outlineLevel="1" collapsed="1" x14ac:dyDescent="0.3">
      <c r="A52" s="25"/>
      <c r="B52" s="14" t="str">
        <f>CONCATENATE("     ","Insurance                                         ")</f>
        <v xml:space="preserve">     Insurance                                         </v>
      </c>
      <c r="C52" s="14"/>
      <c r="D52" s="2">
        <f>SUM(OSRRefD22_8x_0)</f>
        <v>156.47999999999999</v>
      </c>
      <c r="E52" s="2"/>
      <c r="F52" s="6">
        <f t="shared" si="8"/>
        <v>0</v>
      </c>
      <c r="G52" s="2"/>
      <c r="H52" s="2">
        <f>SUM(OSRRefH22_8x_0)</f>
        <v>150</v>
      </c>
      <c r="I52" s="2"/>
      <c r="J52" s="6">
        <f t="shared" si="9"/>
        <v>0</v>
      </c>
      <c r="K52" s="2"/>
      <c r="L52" s="2">
        <f t="shared" si="10"/>
        <v>6.4799999999999898</v>
      </c>
      <c r="M52" s="2"/>
      <c r="N52" s="6">
        <f t="shared" si="11"/>
        <v>4.3199999999999933E-2</v>
      </c>
      <c r="O52" s="14"/>
      <c r="P52" s="2">
        <f>SUM(OSRRefP22_8x_0)</f>
        <v>1251.8399999999999</v>
      </c>
      <c r="Q52" s="2"/>
      <c r="R52" s="6">
        <f t="shared" si="12"/>
        <v>0</v>
      </c>
      <c r="S52" s="2"/>
      <c r="T52" s="2">
        <f>SUM(OSRRefT22_8x_0)</f>
        <v>1200</v>
      </c>
      <c r="U52" s="2"/>
      <c r="V52" s="6">
        <f t="shared" si="13"/>
        <v>0</v>
      </c>
      <c r="W52" s="2"/>
      <c r="X52" s="2">
        <f t="shared" si="14"/>
        <v>51.839999999999918</v>
      </c>
      <c r="Y52" s="2"/>
      <c r="Z52" s="6">
        <f t="shared" si="15"/>
        <v>4.3199999999999933E-2</v>
      </c>
    </row>
    <row r="53" spans="1:26" s="70" customFormat="1" ht="15" hidden="1" customHeight="1" outlineLevel="2" x14ac:dyDescent="0.3">
      <c r="A53" s="26"/>
      <c r="B53" s="12" t="str">
        <f>CONCATENATE("          ","6314"," - ","LIABILITY INSURANCE")</f>
        <v xml:space="preserve">          6314 - LIABILITY INSURANCE</v>
      </c>
      <c r="C53" s="12"/>
      <c r="D53" s="8">
        <v>156.47999999999999</v>
      </c>
      <c r="E53" s="3"/>
      <c r="F53" s="7">
        <f t="shared" si="8"/>
        <v>0</v>
      </c>
      <c r="G53" s="3"/>
      <c r="H53" s="8">
        <v>150</v>
      </c>
      <c r="I53" s="3"/>
      <c r="J53" s="7">
        <f t="shared" si="9"/>
        <v>0</v>
      </c>
      <c r="K53" s="3"/>
      <c r="L53" s="8">
        <f t="shared" si="10"/>
        <v>6.4799999999999898</v>
      </c>
      <c r="M53" s="3"/>
      <c r="N53" s="7">
        <f t="shared" si="11"/>
        <v>4.3199999999999933E-2</v>
      </c>
      <c r="O53" s="12"/>
      <c r="P53" s="8">
        <v>1251.8399999999999</v>
      </c>
      <c r="Q53" s="3"/>
      <c r="R53" s="7">
        <f t="shared" si="12"/>
        <v>0</v>
      </c>
      <c r="S53" s="3"/>
      <c r="T53" s="8">
        <v>1200</v>
      </c>
      <c r="U53" s="3"/>
      <c r="V53" s="7">
        <f t="shared" si="13"/>
        <v>0</v>
      </c>
      <c r="W53" s="3"/>
      <c r="X53" s="8">
        <f t="shared" si="14"/>
        <v>51.839999999999918</v>
      </c>
      <c r="Y53" s="3"/>
      <c r="Z53" s="7">
        <f t="shared" si="15"/>
        <v>4.3199999999999933E-2</v>
      </c>
    </row>
    <row r="54" spans="1:26" s="69" customFormat="1" ht="15" customHeight="1" outlineLevel="1" collapsed="1" x14ac:dyDescent="0.3">
      <c r="A54" s="25"/>
      <c r="B54" s="14" t="str">
        <f>CONCATENATE("     ","Professional Services                             ")</f>
        <v xml:space="preserve">     Professional Services                             </v>
      </c>
      <c r="C54" s="14"/>
      <c r="D54" s="2">
        <f>SUM(OSRRefD22_9x_0)</f>
        <v>0</v>
      </c>
      <c r="E54" s="2"/>
      <c r="F54" s="6">
        <f t="shared" si="8"/>
        <v>0</v>
      </c>
      <c r="G54" s="2"/>
      <c r="H54" s="2">
        <f>SUM(OSRRefH22_9x_0)</f>
        <v>0</v>
      </c>
      <c r="I54" s="2"/>
      <c r="J54" s="6">
        <f t="shared" si="9"/>
        <v>0</v>
      </c>
      <c r="K54" s="2"/>
      <c r="L54" s="2">
        <f t="shared" si="10"/>
        <v>0</v>
      </c>
      <c r="M54" s="2"/>
      <c r="N54" s="6">
        <f t="shared" si="11"/>
        <v>0</v>
      </c>
      <c r="O54" s="14"/>
      <c r="P54" s="2">
        <f>SUM(OSRRefP22_9x_0)</f>
        <v>51875</v>
      </c>
      <c r="Q54" s="2"/>
      <c r="R54" s="6">
        <f t="shared" si="12"/>
        <v>0</v>
      </c>
      <c r="S54" s="2"/>
      <c r="T54" s="2">
        <f>SUM(OSRRefT22_9x_0)</f>
        <v>58500</v>
      </c>
      <c r="U54" s="2"/>
      <c r="V54" s="6">
        <f t="shared" si="13"/>
        <v>0</v>
      </c>
      <c r="W54" s="2"/>
      <c r="X54" s="2">
        <f t="shared" si="14"/>
        <v>-6625</v>
      </c>
      <c r="Y54" s="2"/>
      <c r="Z54" s="6">
        <f t="shared" si="15"/>
        <v>-0.11324786324786325</v>
      </c>
    </row>
    <row r="55" spans="1:26" s="70" customFormat="1" ht="15" hidden="1" customHeight="1" outlineLevel="2" x14ac:dyDescent="0.3">
      <c r="A55" s="26"/>
      <c r="B55" s="12" t="str">
        <f>CONCATENATE("          ","6331"," - ","INDIRECT COSTS-AUXILIARY ORGAN")</f>
        <v xml:space="preserve">          6331 - INDIRECT COSTS-AUXILIARY ORGAN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>
        <v>48350</v>
      </c>
      <c r="Q55" s="3"/>
      <c r="R55" s="7">
        <f t="shared" si="12"/>
        <v>0</v>
      </c>
      <c r="S55" s="3"/>
      <c r="T55" s="8">
        <v>51000</v>
      </c>
      <c r="U55" s="3"/>
      <c r="V55" s="7">
        <f t="shared" si="13"/>
        <v>0</v>
      </c>
      <c r="W55" s="3"/>
      <c r="X55" s="8">
        <f t="shared" si="14"/>
        <v>-2650</v>
      </c>
      <c r="Y55" s="3"/>
      <c r="Z55" s="7">
        <f t="shared" si="15"/>
        <v>-5.1960784313725493E-2</v>
      </c>
    </row>
    <row r="56" spans="1:26" s="70" customFormat="1" ht="15" hidden="1" customHeight="1" outlineLevel="2" x14ac:dyDescent="0.3">
      <c r="A56" s="26"/>
      <c r="B56" s="12" t="str">
        <f>CONCATENATE("          ","6334"," - ","LEGAL COUNCIL EXPENSE")</f>
        <v xml:space="preserve">          6334 - LEGAL COUNCIL EXPENSE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200</v>
      </c>
      <c r="Q56" s="3"/>
      <c r="R56" s="7">
        <f t="shared" si="12"/>
        <v>0</v>
      </c>
      <c r="S56" s="3"/>
      <c r="T56" s="8">
        <v>2500</v>
      </c>
      <c r="U56" s="3"/>
      <c r="V56" s="7">
        <f t="shared" si="13"/>
        <v>0</v>
      </c>
      <c r="W56" s="3"/>
      <c r="X56" s="8">
        <f t="shared" si="14"/>
        <v>-2300</v>
      </c>
      <c r="Y56" s="3"/>
      <c r="Z56" s="7">
        <f t="shared" si="15"/>
        <v>-0.92</v>
      </c>
    </row>
    <row r="57" spans="1:26" s="70" customFormat="1" ht="15" hidden="1" customHeight="1" outlineLevel="2" x14ac:dyDescent="0.3">
      <c r="A57" s="26"/>
      <c r="B57" s="12" t="str">
        <f>CONCATENATE("          ","6336"," - ","PROFESSIONAL SERVICES")</f>
        <v xml:space="preserve">          6336 - PROFESSIONAL SERVICES</v>
      </c>
      <c r="C57" s="12"/>
      <c r="D57" s="8"/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0</v>
      </c>
      <c r="M57" s="3"/>
      <c r="N57" s="7">
        <f t="shared" si="11"/>
        <v>0</v>
      </c>
      <c r="O57" s="12"/>
      <c r="P57" s="8">
        <v>3325</v>
      </c>
      <c r="Q57" s="3"/>
      <c r="R57" s="7">
        <f t="shared" si="12"/>
        <v>0</v>
      </c>
      <c r="S57" s="3"/>
      <c r="T57" s="8">
        <v>5000</v>
      </c>
      <c r="U57" s="3"/>
      <c r="V57" s="7">
        <f t="shared" si="13"/>
        <v>0</v>
      </c>
      <c r="W57" s="3"/>
      <c r="X57" s="8">
        <f t="shared" si="14"/>
        <v>-1675</v>
      </c>
      <c r="Y57" s="3"/>
      <c r="Z57" s="7">
        <f t="shared" si="15"/>
        <v>-0.33500000000000002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SUM(OSRRefD22_10x_0)</f>
        <v>2623</v>
      </c>
      <c r="E58" s="2"/>
      <c r="F58" s="6">
        <f t="shared" si="8"/>
        <v>0</v>
      </c>
      <c r="G58" s="2"/>
      <c r="H58" s="2">
        <f>SUM(OSRRefH22_10x_0)</f>
        <v>1530</v>
      </c>
      <c r="I58" s="2"/>
      <c r="J58" s="6">
        <f t="shared" si="9"/>
        <v>0</v>
      </c>
      <c r="K58" s="2"/>
      <c r="L58" s="2">
        <f t="shared" si="10"/>
        <v>1093</v>
      </c>
      <c r="M58" s="2"/>
      <c r="N58" s="6">
        <f t="shared" si="11"/>
        <v>0.71437908496732028</v>
      </c>
      <c r="O58" s="14"/>
      <c r="P58" s="2">
        <f>SUM(OSRRefP22_10x_0)</f>
        <v>15922.69</v>
      </c>
      <c r="Q58" s="2"/>
      <c r="R58" s="6">
        <f t="shared" si="12"/>
        <v>0</v>
      </c>
      <c r="S58" s="2"/>
      <c r="T58" s="2">
        <f>SUM(OSRRefT22_10x_0)</f>
        <v>12240</v>
      </c>
      <c r="U58" s="2"/>
      <c r="V58" s="6">
        <f t="shared" si="13"/>
        <v>0</v>
      </c>
      <c r="W58" s="2"/>
      <c r="X58" s="2">
        <f t="shared" si="14"/>
        <v>3682.6900000000005</v>
      </c>
      <c r="Y58" s="2"/>
      <c r="Z58" s="6">
        <f t="shared" si="15"/>
        <v>0.30087336601307196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8">
        <v>2623</v>
      </c>
      <c r="E59" s="3"/>
      <c r="F59" s="7">
        <f t="shared" si="8"/>
        <v>0</v>
      </c>
      <c r="G59" s="3"/>
      <c r="H59" s="8">
        <v>1530</v>
      </c>
      <c r="I59" s="3"/>
      <c r="J59" s="7">
        <f t="shared" si="9"/>
        <v>0</v>
      </c>
      <c r="K59" s="3"/>
      <c r="L59" s="8">
        <f t="shared" si="10"/>
        <v>1093</v>
      </c>
      <c r="M59" s="3"/>
      <c r="N59" s="7">
        <f t="shared" si="11"/>
        <v>0.71437908496732028</v>
      </c>
      <c r="O59" s="12"/>
      <c r="P59" s="8">
        <v>15824.7</v>
      </c>
      <c r="Q59" s="3"/>
      <c r="R59" s="7">
        <f t="shared" si="12"/>
        <v>0</v>
      </c>
      <c r="S59" s="3"/>
      <c r="T59" s="8">
        <v>12240</v>
      </c>
      <c r="U59" s="3"/>
      <c r="V59" s="7">
        <f t="shared" si="13"/>
        <v>0</v>
      </c>
      <c r="W59" s="3"/>
      <c r="X59" s="8">
        <f t="shared" si="14"/>
        <v>3584.7000000000007</v>
      </c>
      <c r="Y59" s="3"/>
      <c r="Z59" s="7">
        <f t="shared" si="15"/>
        <v>0.29286764705882357</v>
      </c>
    </row>
    <row r="60" spans="1:26" s="70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97.99</v>
      </c>
      <c r="Q60" s="3"/>
      <c r="R60" s="7">
        <f t="shared" si="12"/>
        <v>0</v>
      </c>
      <c r="S60" s="3"/>
      <c r="T60" s="8"/>
      <c r="U60" s="3"/>
      <c r="V60" s="7">
        <f t="shared" si="13"/>
        <v>0</v>
      </c>
      <c r="W60" s="3"/>
      <c r="X60" s="8">
        <f t="shared" si="14"/>
        <v>97.99</v>
      </c>
      <c r="Y60" s="3"/>
      <c r="Z60" s="7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SUM(OSRRefD22_11x_0)</f>
        <v>0</v>
      </c>
      <c r="E61" s="2"/>
      <c r="F61" s="6">
        <f t="shared" si="8"/>
        <v>0</v>
      </c>
      <c r="G61" s="2"/>
      <c r="H61" s="2">
        <f>SUM(OSRRefH22_11x_0)</f>
        <v>0</v>
      </c>
      <c r="I61" s="2"/>
      <c r="J61" s="6">
        <f t="shared" si="9"/>
        <v>0</v>
      </c>
      <c r="K61" s="2"/>
      <c r="L61" s="2">
        <f t="shared" si="10"/>
        <v>0</v>
      </c>
      <c r="M61" s="2"/>
      <c r="N61" s="6">
        <f t="shared" si="11"/>
        <v>0</v>
      </c>
      <c r="O61" s="14"/>
      <c r="P61" s="2">
        <f>SUM(OSRRefP22_11x_0)</f>
        <v>1000</v>
      </c>
      <c r="Q61" s="2"/>
      <c r="R61" s="6">
        <f t="shared" si="12"/>
        <v>0</v>
      </c>
      <c r="S61" s="2"/>
      <c r="T61" s="2">
        <f>SUM(OSRRefT22_11x_0)</f>
        <v>1975</v>
      </c>
      <c r="U61" s="2"/>
      <c r="V61" s="6">
        <f t="shared" si="13"/>
        <v>0</v>
      </c>
      <c r="W61" s="2"/>
      <c r="X61" s="2">
        <f t="shared" si="14"/>
        <v>-975</v>
      </c>
      <c r="Y61" s="2"/>
      <c r="Z61" s="6">
        <f t="shared" si="15"/>
        <v>-0.49367088607594939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8">
        <v>0</v>
      </c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>
        <v>1000</v>
      </c>
      <c r="Q62" s="3"/>
      <c r="R62" s="7">
        <f t="shared" si="12"/>
        <v>0</v>
      </c>
      <c r="S62" s="3"/>
      <c r="T62" s="8">
        <v>1975</v>
      </c>
      <c r="U62" s="3"/>
      <c r="V62" s="7">
        <f t="shared" si="13"/>
        <v>0</v>
      </c>
      <c r="W62" s="3"/>
      <c r="X62" s="8">
        <f t="shared" si="14"/>
        <v>-975</v>
      </c>
      <c r="Y62" s="3"/>
      <c r="Z62" s="7">
        <f t="shared" si="15"/>
        <v>-0.49367088607594939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SUM(OSRRefD22_12x_0)</f>
        <v>39.69</v>
      </c>
      <c r="E63" s="2"/>
      <c r="F63" s="6">
        <f t="shared" si="8"/>
        <v>0</v>
      </c>
      <c r="G63" s="2"/>
      <c r="H63" s="2">
        <f>SUM(OSRRefH22_12x_0)</f>
        <v>125</v>
      </c>
      <c r="I63" s="2"/>
      <c r="J63" s="6">
        <f t="shared" si="9"/>
        <v>0</v>
      </c>
      <c r="K63" s="2"/>
      <c r="L63" s="2">
        <f t="shared" si="10"/>
        <v>-85.31</v>
      </c>
      <c r="M63" s="2"/>
      <c r="N63" s="6">
        <f t="shared" si="11"/>
        <v>-0.68247999999999998</v>
      </c>
      <c r="O63" s="14"/>
      <c r="P63" s="2">
        <f>SUM(OSRRefP22_12x_0)</f>
        <v>409.15</v>
      </c>
      <c r="Q63" s="2"/>
      <c r="R63" s="6">
        <f t="shared" si="12"/>
        <v>0</v>
      </c>
      <c r="S63" s="2"/>
      <c r="T63" s="2">
        <f>SUM(OSRRefT22_12x_0)</f>
        <v>1000</v>
      </c>
      <c r="U63" s="2"/>
      <c r="V63" s="6">
        <f t="shared" si="13"/>
        <v>0</v>
      </c>
      <c r="W63" s="2"/>
      <c r="X63" s="2">
        <f t="shared" si="14"/>
        <v>-590.85</v>
      </c>
      <c r="Y63" s="2"/>
      <c r="Z63" s="6">
        <f t="shared" si="15"/>
        <v>-0.59084999999999999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8"/>
      <c r="E64" s="3"/>
      <c r="F64" s="7">
        <f t="shared" si="8"/>
        <v>0</v>
      </c>
      <c r="G64" s="3"/>
      <c r="H64" s="8">
        <v>125</v>
      </c>
      <c r="I64" s="3"/>
      <c r="J64" s="7">
        <f t="shared" si="9"/>
        <v>0</v>
      </c>
      <c r="K64" s="3"/>
      <c r="L64" s="8">
        <f t="shared" si="10"/>
        <v>-125</v>
      </c>
      <c r="M64" s="3"/>
      <c r="N64" s="7">
        <f t="shared" si="11"/>
        <v>-1</v>
      </c>
      <c r="O64" s="12"/>
      <c r="P64" s="8"/>
      <c r="Q64" s="3"/>
      <c r="R64" s="7">
        <f t="shared" si="12"/>
        <v>0</v>
      </c>
      <c r="S64" s="3"/>
      <c r="T64" s="8">
        <v>1000</v>
      </c>
      <c r="U64" s="3"/>
      <c r="V64" s="7">
        <f t="shared" si="13"/>
        <v>0</v>
      </c>
      <c r="W64" s="3"/>
      <c r="X64" s="8">
        <f t="shared" si="14"/>
        <v>-1000</v>
      </c>
      <c r="Y64" s="3"/>
      <c r="Z64" s="7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>
        <v>39.69</v>
      </c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39.69</v>
      </c>
      <c r="M65" s="3"/>
      <c r="N65" s="7">
        <f t="shared" si="11"/>
        <v>0</v>
      </c>
      <c r="O65" s="12"/>
      <c r="P65" s="8">
        <v>409.15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409.15</v>
      </c>
      <c r="Y65" s="3"/>
      <c r="Z65" s="7">
        <f t="shared" si="15"/>
        <v>0</v>
      </c>
    </row>
    <row r="66" spans="1:26" s="69" customFormat="1" ht="15" customHeight="1" outlineLevel="1" collapsed="1" x14ac:dyDescent="0.3">
      <c r="A66" s="25"/>
      <c r="B66" s="14" t="str">
        <f>CONCATENATE("     ","Telephone/Data Lines                              ")</f>
        <v xml:space="preserve">     Telephone/Data Lines                              </v>
      </c>
      <c r="C66" s="14"/>
      <c r="D66" s="2">
        <f>SUM(OSRRefD22_13x_0)</f>
        <v>436.6</v>
      </c>
      <c r="E66" s="2"/>
      <c r="F66" s="6">
        <f t="shared" si="8"/>
        <v>0</v>
      </c>
      <c r="G66" s="2"/>
      <c r="H66" s="2">
        <f>SUM(OSRRefH22_13x_0)</f>
        <v>425</v>
      </c>
      <c r="I66" s="2"/>
      <c r="J66" s="6">
        <f t="shared" si="9"/>
        <v>0</v>
      </c>
      <c r="K66" s="2"/>
      <c r="L66" s="2">
        <f t="shared" si="10"/>
        <v>11.600000000000023</v>
      </c>
      <c r="M66" s="2"/>
      <c r="N66" s="6">
        <f t="shared" si="11"/>
        <v>2.7294117647058878E-2</v>
      </c>
      <c r="O66" s="14"/>
      <c r="P66" s="2">
        <f>SUM(OSRRefP22_13x_0)</f>
        <v>3541.44</v>
      </c>
      <c r="Q66" s="2"/>
      <c r="R66" s="6">
        <f t="shared" si="12"/>
        <v>0</v>
      </c>
      <c r="S66" s="2"/>
      <c r="T66" s="2">
        <f>SUM(OSRRefT22_13x_0)</f>
        <v>3400</v>
      </c>
      <c r="U66" s="2"/>
      <c r="V66" s="6">
        <f t="shared" si="13"/>
        <v>0</v>
      </c>
      <c r="W66" s="2"/>
      <c r="X66" s="2">
        <f t="shared" si="14"/>
        <v>141.44000000000005</v>
      </c>
      <c r="Y66" s="2"/>
      <c r="Z66" s="6">
        <f t="shared" si="15"/>
        <v>4.1600000000000019E-2</v>
      </c>
    </row>
    <row r="67" spans="1:26" s="70" customFormat="1" ht="15" hidden="1" customHeight="1" outlineLevel="2" x14ac:dyDescent="0.3">
      <c r="A67" s="26"/>
      <c r="B67" s="12" t="str">
        <f>CONCATENATE("          ","6309"," - ","TELEPHONE")</f>
        <v xml:space="preserve">          6309 - TELEPHONE</v>
      </c>
      <c r="C67" s="12"/>
      <c r="D67" s="8">
        <v>436.6</v>
      </c>
      <c r="E67" s="3"/>
      <c r="F67" s="7">
        <f t="shared" si="8"/>
        <v>0</v>
      </c>
      <c r="G67" s="3"/>
      <c r="H67" s="8">
        <v>425</v>
      </c>
      <c r="I67" s="3"/>
      <c r="J67" s="7">
        <f t="shared" si="9"/>
        <v>0</v>
      </c>
      <c r="K67" s="3"/>
      <c r="L67" s="8">
        <f t="shared" si="10"/>
        <v>11.600000000000023</v>
      </c>
      <c r="M67" s="3"/>
      <c r="N67" s="7">
        <f t="shared" si="11"/>
        <v>2.7294117647058878E-2</v>
      </c>
      <c r="O67" s="12"/>
      <c r="P67" s="8">
        <v>3541.44</v>
      </c>
      <c r="Q67" s="3"/>
      <c r="R67" s="7">
        <f t="shared" si="12"/>
        <v>0</v>
      </c>
      <c r="S67" s="3"/>
      <c r="T67" s="8">
        <v>3400</v>
      </c>
      <c r="U67" s="3"/>
      <c r="V67" s="7">
        <f t="shared" si="13"/>
        <v>0</v>
      </c>
      <c r="W67" s="3"/>
      <c r="X67" s="8">
        <f t="shared" si="14"/>
        <v>141.44000000000005</v>
      </c>
      <c r="Y67" s="3"/>
      <c r="Z67" s="7">
        <f t="shared" si="15"/>
        <v>4.1600000000000019E-2</v>
      </c>
    </row>
    <row r="68" spans="1:26" s="69" customFormat="1" ht="15" customHeight="1" outlineLevel="1" collapsed="1" x14ac:dyDescent="0.3">
      <c r="A68" s="25"/>
      <c r="B68" s="14" t="str">
        <f>CONCATENATE("     ","Training                                          ")</f>
        <v xml:space="preserve">     Training                                          </v>
      </c>
      <c r="C68" s="14"/>
      <c r="D68" s="2">
        <f>SUM(OSRRefD22_14x_0)</f>
        <v>0</v>
      </c>
      <c r="E68" s="2"/>
      <c r="F68" s="6">
        <f t="shared" si="8"/>
        <v>0</v>
      </c>
      <c r="G68" s="2"/>
      <c r="H68" s="2">
        <f>SUM(OSRRefH22_14x_0)</f>
        <v>1500</v>
      </c>
      <c r="I68" s="2"/>
      <c r="J68" s="6">
        <f t="shared" si="9"/>
        <v>0</v>
      </c>
      <c r="K68" s="2"/>
      <c r="L68" s="2">
        <f t="shared" si="10"/>
        <v>-1500</v>
      </c>
      <c r="M68" s="2"/>
      <c r="N68" s="6">
        <f t="shared" si="11"/>
        <v>-1</v>
      </c>
      <c r="O68" s="14"/>
      <c r="P68" s="2">
        <f>SUM(OSRRefP22_14x_0)</f>
        <v>595</v>
      </c>
      <c r="Q68" s="2"/>
      <c r="R68" s="6">
        <f t="shared" si="12"/>
        <v>0</v>
      </c>
      <c r="S68" s="2"/>
      <c r="T68" s="2">
        <f>SUM(OSRRefT22_14x_0)</f>
        <v>4050</v>
      </c>
      <c r="U68" s="2"/>
      <c r="V68" s="6">
        <f t="shared" si="13"/>
        <v>0</v>
      </c>
      <c r="W68" s="2"/>
      <c r="X68" s="2">
        <f t="shared" si="14"/>
        <v>-3455</v>
      </c>
      <c r="Y68" s="2"/>
      <c r="Z68" s="6">
        <f t="shared" si="15"/>
        <v>-0.85308641975308641</v>
      </c>
    </row>
    <row r="69" spans="1:26" s="70" customFormat="1" ht="15" hidden="1" customHeight="1" outlineLevel="2" x14ac:dyDescent="0.3">
      <c r="A69" s="26"/>
      <c r="B69" s="12" t="str">
        <f>CONCATENATE("          ","6376"," - ","TRAINING")</f>
        <v xml:space="preserve">          6376 - TRAINING</v>
      </c>
      <c r="C69" s="12"/>
      <c r="D69" s="8"/>
      <c r="E69" s="3"/>
      <c r="F69" s="7">
        <f t="shared" si="8"/>
        <v>0</v>
      </c>
      <c r="G69" s="3"/>
      <c r="H69" s="8">
        <v>1500</v>
      </c>
      <c r="I69" s="3"/>
      <c r="J69" s="7">
        <f t="shared" si="9"/>
        <v>0</v>
      </c>
      <c r="K69" s="3"/>
      <c r="L69" s="8">
        <f t="shared" si="10"/>
        <v>-1500</v>
      </c>
      <c r="M69" s="3"/>
      <c r="N69" s="7">
        <f t="shared" si="11"/>
        <v>-1</v>
      </c>
      <c r="O69" s="12"/>
      <c r="P69" s="8">
        <v>595</v>
      </c>
      <c r="Q69" s="3"/>
      <c r="R69" s="7">
        <f t="shared" si="12"/>
        <v>0</v>
      </c>
      <c r="S69" s="3"/>
      <c r="T69" s="8">
        <v>4050</v>
      </c>
      <c r="U69" s="3"/>
      <c r="V69" s="7">
        <f t="shared" si="13"/>
        <v>0</v>
      </c>
      <c r="W69" s="3"/>
      <c r="X69" s="8">
        <f t="shared" si="14"/>
        <v>-3455</v>
      </c>
      <c r="Y69" s="3"/>
      <c r="Z69" s="7">
        <f t="shared" si="15"/>
        <v>-0.85308641975308641</v>
      </c>
    </row>
    <row r="70" spans="1:26" s="69" customFormat="1" ht="15" customHeight="1" outlineLevel="1" collapsed="1" x14ac:dyDescent="0.3">
      <c r="A70" s="25"/>
      <c r="B70" s="14" t="str">
        <f>CONCATENATE("     ","Travel                                            ")</f>
        <v xml:space="preserve">     Travel                                            </v>
      </c>
      <c r="C70" s="14"/>
      <c r="D70" s="2">
        <f>SUM(OSRRefD22_15x_0)</f>
        <v>0</v>
      </c>
      <c r="E70" s="2"/>
      <c r="F70" s="6">
        <f t="shared" si="8"/>
        <v>0</v>
      </c>
      <c r="G70" s="2"/>
      <c r="H70" s="2">
        <f>SUM(OSRRefH22_15x_0)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SUM(OSRRefP22_15x_0)</f>
        <v>0</v>
      </c>
      <c r="Q70" s="2"/>
      <c r="R70" s="6">
        <f t="shared" si="12"/>
        <v>0</v>
      </c>
      <c r="S70" s="2"/>
      <c r="T70" s="2">
        <f>SUM(OSRRefT22_15x_0)</f>
        <v>1500</v>
      </c>
      <c r="U70" s="2"/>
      <c r="V70" s="6">
        <f t="shared" si="13"/>
        <v>0</v>
      </c>
      <c r="W70" s="2"/>
      <c r="X70" s="2">
        <f t="shared" si="14"/>
        <v>-1500</v>
      </c>
      <c r="Y70" s="2"/>
      <c r="Z70" s="6">
        <f t="shared" si="15"/>
        <v>-1</v>
      </c>
    </row>
    <row r="71" spans="1:26" s="70" customFormat="1" ht="15" hidden="1" customHeight="1" outlineLevel="2" x14ac:dyDescent="0.3">
      <c r="A71" s="26"/>
      <c r="B71" s="12" t="str">
        <f>CONCATENATE("          ","6294"," - ","TRAVEL OPERATIONAL")</f>
        <v xml:space="preserve">          6294 - TRAVEL OPERATIONAL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/>
      <c r="Q71" s="3"/>
      <c r="R71" s="7">
        <f t="shared" si="12"/>
        <v>0</v>
      </c>
      <c r="S71" s="3"/>
      <c r="T71" s="8">
        <v>1500</v>
      </c>
      <c r="U71" s="3"/>
      <c r="V71" s="7">
        <f t="shared" si="13"/>
        <v>0</v>
      </c>
      <c r="W71" s="3"/>
      <c r="X71" s="8">
        <f t="shared" si="14"/>
        <v>-1500</v>
      </c>
      <c r="Y71" s="3"/>
      <c r="Z71" s="7">
        <f t="shared" si="15"/>
        <v>-1</v>
      </c>
    </row>
    <row r="72" spans="1:26" s="65" customFormat="1" ht="15" customHeight="1" x14ac:dyDescent="0.3">
      <c r="A72" s="35"/>
      <c r="B72" s="35"/>
      <c r="C72" s="35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35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63" customFormat="1" ht="15" customHeight="1" x14ac:dyDescent="0.3">
      <c r="A73" s="11"/>
      <c r="B73" s="27" t="s">
        <v>291</v>
      </c>
      <c r="C73" s="11"/>
      <c r="D73" s="5">
        <f>SUM(0)</f>
        <v>0</v>
      </c>
      <c r="E73" s="5"/>
      <c r="F73" s="13">
        <f>IF(D$12=0,0,D73/D$12)</f>
        <v>0</v>
      </c>
      <c r="G73" s="5"/>
      <c r="H73" s="5">
        <f>SUM(0)</f>
        <v>0</v>
      </c>
      <c r="I73" s="5"/>
      <c r="J73" s="13">
        <f>IF(H$12=0,0,H73/H$12)</f>
        <v>0</v>
      </c>
      <c r="K73" s="5"/>
      <c r="L73" s="5">
        <f>+D73-H73</f>
        <v>0</v>
      </c>
      <c r="M73" s="5"/>
      <c r="N73" s="13">
        <f>IF(H73=0,0,L73/H73)</f>
        <v>0</v>
      </c>
      <c r="O73" s="11"/>
      <c r="P73" s="5">
        <f>SUM(0)</f>
        <v>0</v>
      </c>
      <c r="Q73" s="5"/>
      <c r="R73" s="13">
        <f>IF(P$12=0,0,P73/P$12)</f>
        <v>0</v>
      </c>
      <c r="S73" s="5"/>
      <c r="T73" s="5">
        <f>SUM(0)</f>
        <v>0</v>
      </c>
      <c r="U73" s="5"/>
      <c r="V73" s="13">
        <f>IF(T$12=0,0,T73/T$12)</f>
        <v>0</v>
      </c>
      <c r="W73" s="5"/>
      <c r="X73" s="5">
        <f>+P73-T73</f>
        <v>0</v>
      </c>
      <c r="Y73" s="5"/>
      <c r="Z73" s="13">
        <f>IF(T73=0,0,X73/T73)</f>
        <v>0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8" t="s">
        <v>292</v>
      </c>
      <c r="C75" s="28"/>
      <c r="D75" s="21">
        <f>+D16-D18+D73</f>
        <v>-34901.280000000006</v>
      </c>
      <c r="E75" s="15"/>
      <c r="F75" s="22">
        <f>IF(D$12=0,0,D75/D$12)</f>
        <v>0</v>
      </c>
      <c r="G75" s="15"/>
      <c r="H75" s="21">
        <f>+H16-H18+H73</f>
        <v>-39107.928969230801</v>
      </c>
      <c r="I75" s="15"/>
      <c r="J75" s="22">
        <f>IF(H$12=0,0,H75/H$12)</f>
        <v>0</v>
      </c>
      <c r="K75" s="16"/>
      <c r="L75" s="21">
        <f>+D75-H75</f>
        <v>4206.648969230795</v>
      </c>
      <c r="M75" s="16"/>
      <c r="N75" s="22">
        <f>IF(H75=0,0,L75/H75)</f>
        <v>-0.10756511735869438</v>
      </c>
      <c r="O75" s="27"/>
      <c r="P75" s="21">
        <f>+P16-P18+P73</f>
        <v>-391326.17000000004</v>
      </c>
      <c r="Q75" s="15"/>
      <c r="R75" s="22">
        <f>IF(P$12=0,0,P75/P$12)</f>
        <v>0</v>
      </c>
      <c r="S75" s="15"/>
      <c r="T75" s="21">
        <f>+T16-T18+T73</f>
        <v>-402603.91905769223</v>
      </c>
      <c r="U75" s="15"/>
      <c r="V75" s="22">
        <f>IF(T$12=0,0,T75/T$12)</f>
        <v>0</v>
      </c>
      <c r="W75" s="16"/>
      <c r="X75" s="21">
        <f>+P75-T75</f>
        <v>11277.749057692185</v>
      </c>
      <c r="Y75" s="16"/>
      <c r="Z75" s="22">
        <f>IF(T75=0,0,X75/T75)</f>
        <v>-2.8012020062020582E-2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/>
      <c r="E77" s="5"/>
      <c r="F77" s="13">
        <f>IF(D$12=0,0,D77/D$12)</f>
        <v>0</v>
      </c>
      <c r="G77" s="5"/>
      <c r="H77" s="5"/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/>
      <c r="Q77" s="5"/>
      <c r="R77" s="13">
        <f>IF(P$12=0,0,P77/P$12)</f>
        <v>0</v>
      </c>
      <c r="S77" s="5"/>
      <c r="T77" s="5"/>
      <c r="U77" s="5"/>
      <c r="V77" s="13">
        <f>IF(T$12=0,0,T77/T$12)</f>
        <v>0</v>
      </c>
      <c r="W77" s="5"/>
      <c r="X77" s="5">
        <f>+P77-T77</f>
        <v>0</v>
      </c>
      <c r="Y77" s="5"/>
      <c r="Z77" s="13">
        <f>IF(T77=0,0,X77/T77)</f>
        <v>0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294</v>
      </c>
      <c r="C79" s="28"/>
      <c r="D79" s="33">
        <f>+D75-D77</f>
        <v>-34901.280000000006</v>
      </c>
      <c r="E79" s="15"/>
      <c r="F79" s="32">
        <f>IF(D$12=0,0,D79/D$12)</f>
        <v>0</v>
      </c>
      <c r="G79" s="15"/>
      <c r="H79" s="33">
        <f>+H75-H77</f>
        <v>-39107.928969230801</v>
      </c>
      <c r="I79" s="15"/>
      <c r="J79" s="32">
        <f>IF(H$12=0,0,H79/H$12)</f>
        <v>0</v>
      </c>
      <c r="K79" s="16"/>
      <c r="L79" s="33">
        <f>D79-H79</f>
        <v>4206.648969230795</v>
      </c>
      <c r="M79" s="16"/>
      <c r="N79" s="32">
        <f>IF(H79=0,0,L79/H79)</f>
        <v>-0.10756511735869438</v>
      </c>
      <c r="O79" s="27"/>
      <c r="P79" s="33">
        <f>+P75-P77</f>
        <v>-391326.17000000004</v>
      </c>
      <c r="Q79" s="15"/>
      <c r="R79" s="32">
        <f>IF(P$12=0,0,P79/P$12)</f>
        <v>0</v>
      </c>
      <c r="S79" s="15"/>
      <c r="T79" s="33">
        <f>+T75-T77</f>
        <v>-402603.91905769223</v>
      </c>
      <c r="U79" s="15"/>
      <c r="V79" s="32">
        <f>IF(T$12=0,0,T79/T$12)</f>
        <v>0</v>
      </c>
      <c r="W79" s="16"/>
      <c r="X79" s="33">
        <f>P79-T79</f>
        <v>11277.749057692185</v>
      </c>
      <c r="Y79" s="16"/>
      <c r="Z79" s="32">
        <f>IF(T79=0,0,X79/T79)</f>
        <v>-2.8012020062020582E-2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8" t="s">
        <v>297</v>
      </c>
      <c r="C82" s="28"/>
      <c r="D82" s="34">
        <f>SUM(D79:D81)</f>
        <v>-34901.280000000006</v>
      </c>
      <c r="E82" s="15"/>
      <c r="F82" s="30">
        <f>IF(D$12=0,0,D82/D$12)</f>
        <v>0</v>
      </c>
      <c r="G82" s="15"/>
      <c r="H82" s="34">
        <f>SUM(H79:H81)</f>
        <v>-39107.928969230801</v>
      </c>
      <c r="I82" s="15"/>
      <c r="J82" s="30">
        <f>IF(H$12=0,0,H82/H$12)</f>
        <v>0</v>
      </c>
      <c r="K82" s="16"/>
      <c r="L82" s="34">
        <f>+D82-H82</f>
        <v>4206.648969230795</v>
      </c>
      <c r="M82" s="16"/>
      <c r="N82" s="30">
        <f>IF(H82=0,0,L82/H82)</f>
        <v>-0.10756511735869438</v>
      </c>
      <c r="O82" s="27"/>
      <c r="P82" s="34">
        <f>SUM(P79:P81)</f>
        <v>-391326.17000000004</v>
      </c>
      <c r="Q82" s="15"/>
      <c r="R82" s="30">
        <f>IF(P$12=0,0,P82/P$12)</f>
        <v>0</v>
      </c>
      <c r="S82" s="15"/>
      <c r="T82" s="34">
        <f>SUM(T79:T81)</f>
        <v>-402603.91905769223</v>
      </c>
      <c r="U82" s="15"/>
      <c r="V82" s="30">
        <f>IF(T$12=0,0,T82/T$12)</f>
        <v>0</v>
      </c>
      <c r="W82" s="16"/>
      <c r="X82" s="34">
        <f>+P82-T82</f>
        <v>11277.749057692185</v>
      </c>
      <c r="Y82" s="16"/>
      <c r="Z82" s="30">
        <f>IF(T82=0,0,X82/T82)</f>
        <v>-2.8012020062020582E-2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0"/>
      <c r="B84" s="57">
        <v>44634.883430555557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0"/>
      <c r="B85" s="56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0"/>
      <c r="B86" s="54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2E9C2-DDD6-C1B6-CB85-CEF351B998FC}">
  <sheetPr>
    <tabColor rgb="FF92D050"/>
    <outlinePr summaryBelow="0" summaryRight="0"/>
  </sheetPr>
  <dimension ref="A2:Z7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","202"," - ","Accounting")</f>
        <v>Department 202 - Accounting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38686.19</v>
      </c>
      <c r="E18" s="23"/>
      <c r="F18" s="29">
        <f t="shared" ref="F18:F63" si="0">IF(D$12=0,0,D18/D$12)</f>
        <v>0</v>
      </c>
      <c r="G18" s="23"/>
      <c r="H18" s="23" cm="1">
        <f t="array" ref="H18">SUM(OSRRefH22x_0)</f>
        <v>49108.428504307674</v>
      </c>
      <c r="I18" s="23"/>
      <c r="J18" s="29">
        <f t="shared" ref="J18:J63" si="1">IF(H$12=0,0,H18/H$12)</f>
        <v>0</v>
      </c>
      <c r="K18" s="5"/>
      <c r="L18" s="23">
        <f t="shared" ref="L18:L63" si="2">+D18-H18</f>
        <v>-10422.238504307672</v>
      </c>
      <c r="M18" s="5"/>
      <c r="N18" s="29">
        <f t="shared" ref="N18:N63" si="3">IF(H18=0,0,L18/H18)</f>
        <v>-0.21222911874269115</v>
      </c>
      <c r="O18" s="11"/>
      <c r="P18" s="23" cm="1">
        <f t="array" ref="P18">SUM(OSRRefP22x_0)</f>
        <v>333022.03000000003</v>
      </c>
      <c r="Q18" s="23"/>
      <c r="R18" s="29">
        <f t="shared" ref="R18:R63" si="4">IF(P$12=0,0,P18/P$12)</f>
        <v>0</v>
      </c>
      <c r="S18" s="23"/>
      <c r="T18" s="23" cm="1">
        <f t="array" ref="T18">SUM(OSRRefT22x_0)</f>
        <v>338110.26557269163</v>
      </c>
      <c r="U18" s="23"/>
      <c r="V18" s="29">
        <f t="shared" ref="V18:V63" si="5">IF(T$12=0,0,T18/T$12)</f>
        <v>0</v>
      </c>
      <c r="W18" s="5"/>
      <c r="X18" s="23">
        <f t="shared" ref="X18:X63" si="6">+P18-T18</f>
        <v>-5088.2355726915994</v>
      </c>
      <c r="Y18" s="5"/>
      <c r="Z18" s="29">
        <f t="shared" ref="Z18:Z63" si="7">IF(T18=0,0,X18/T18)</f>
        <v>-1.5049041956987431E-2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13124.429999999998</v>
      </c>
      <c r="E19" s="2"/>
      <c r="F19" s="6">
        <f t="shared" si="0"/>
        <v>0</v>
      </c>
      <c r="G19" s="2"/>
      <c r="H19" s="2">
        <f>SUM(OSRRefH22_0x_0)</f>
        <v>12762.85311969231</v>
      </c>
      <c r="I19" s="2"/>
      <c r="J19" s="6">
        <f t="shared" si="1"/>
        <v>0</v>
      </c>
      <c r="K19" s="2"/>
      <c r="L19" s="2">
        <f t="shared" si="2"/>
        <v>361.57688030768804</v>
      </c>
      <c r="M19" s="2"/>
      <c r="N19" s="6">
        <f t="shared" si="3"/>
        <v>2.8330411461822497E-2</v>
      </c>
      <c r="O19" s="14"/>
      <c r="P19" s="2">
        <f>SUM(OSRRefP22_0x_0)</f>
        <v>110847.98</v>
      </c>
      <c r="Q19" s="2"/>
      <c r="R19" s="6">
        <f t="shared" si="4"/>
        <v>0</v>
      </c>
      <c r="S19" s="2"/>
      <c r="T19" s="2">
        <f>SUM(OSRRefT22_0x_0)</f>
        <v>106344.43095730775</v>
      </c>
      <c r="U19" s="2"/>
      <c r="V19" s="6">
        <f t="shared" si="5"/>
        <v>0</v>
      </c>
      <c r="W19" s="2"/>
      <c r="X19" s="2">
        <f t="shared" si="6"/>
        <v>4503.5490426922479</v>
      </c>
      <c r="Y19" s="2"/>
      <c r="Z19" s="6">
        <f t="shared" si="7"/>
        <v>4.234870601263746E-2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1695.15</v>
      </c>
      <c r="E20" s="3"/>
      <c r="F20" s="7">
        <f t="shared" si="0"/>
        <v>0</v>
      </c>
      <c r="G20" s="3"/>
      <c r="H20" s="8">
        <v>1673.77703353846</v>
      </c>
      <c r="I20" s="3"/>
      <c r="J20" s="7">
        <f t="shared" si="1"/>
        <v>0</v>
      </c>
      <c r="K20" s="3"/>
      <c r="L20" s="8">
        <f t="shared" si="2"/>
        <v>21.372966461540045</v>
      </c>
      <c r="M20" s="3"/>
      <c r="N20" s="7">
        <f t="shared" si="3"/>
        <v>1.2769303218575282E-2</v>
      </c>
      <c r="O20" s="12"/>
      <c r="P20" s="8">
        <v>14126.39</v>
      </c>
      <c r="Q20" s="3"/>
      <c r="R20" s="7">
        <f t="shared" si="4"/>
        <v>0</v>
      </c>
      <c r="S20" s="3"/>
      <c r="T20" s="8">
        <v>14645.5490434615</v>
      </c>
      <c r="U20" s="3"/>
      <c r="V20" s="7">
        <f t="shared" si="5"/>
        <v>0</v>
      </c>
      <c r="W20" s="3"/>
      <c r="X20" s="8">
        <f t="shared" si="6"/>
        <v>-519.15904346150091</v>
      </c>
      <c r="Y20" s="3"/>
      <c r="Z20" s="7">
        <f t="shared" si="7"/>
        <v>-3.5448247240227521E-2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288.89999999999998</v>
      </c>
      <c r="E21" s="3"/>
      <c r="F21" s="7">
        <f t="shared" si="0"/>
        <v>0</v>
      </c>
      <c r="G21" s="3"/>
      <c r="H21" s="8">
        <v>75.229750769230805</v>
      </c>
      <c r="I21" s="3"/>
      <c r="J21" s="7">
        <f t="shared" si="1"/>
        <v>0</v>
      </c>
      <c r="K21" s="3"/>
      <c r="L21" s="8">
        <f t="shared" si="2"/>
        <v>213.67024923076917</v>
      </c>
      <c r="M21" s="3"/>
      <c r="N21" s="7">
        <f t="shared" si="3"/>
        <v>2.840236037551263</v>
      </c>
      <c r="O21" s="12"/>
      <c r="P21" s="8">
        <v>2420.7199999999998</v>
      </c>
      <c r="Q21" s="3"/>
      <c r="R21" s="7">
        <f t="shared" si="4"/>
        <v>0</v>
      </c>
      <c r="S21" s="3"/>
      <c r="T21" s="8">
        <v>639.47679923076998</v>
      </c>
      <c r="U21" s="3"/>
      <c r="V21" s="7">
        <f t="shared" si="5"/>
        <v>0</v>
      </c>
      <c r="W21" s="3"/>
      <c r="X21" s="8">
        <f t="shared" si="6"/>
        <v>1781.2432007692298</v>
      </c>
      <c r="Y21" s="3"/>
      <c r="Z21" s="7">
        <f t="shared" si="7"/>
        <v>2.7854696259690681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5721.83</v>
      </c>
      <c r="E22" s="3"/>
      <c r="F22" s="7">
        <f t="shared" si="0"/>
        <v>0</v>
      </c>
      <c r="G22" s="3"/>
      <c r="H22" s="8">
        <v>6123</v>
      </c>
      <c r="I22" s="3"/>
      <c r="J22" s="7">
        <f t="shared" si="1"/>
        <v>0</v>
      </c>
      <c r="K22" s="3"/>
      <c r="L22" s="8">
        <f t="shared" si="2"/>
        <v>-401.17000000000007</v>
      </c>
      <c r="M22" s="3"/>
      <c r="N22" s="7">
        <f t="shared" si="3"/>
        <v>-6.5518536665033489E-2</v>
      </c>
      <c r="O22" s="12"/>
      <c r="P22" s="8">
        <v>48818.62</v>
      </c>
      <c r="Q22" s="3"/>
      <c r="R22" s="7">
        <f t="shared" si="4"/>
        <v>0</v>
      </c>
      <c r="S22" s="3"/>
      <c r="T22" s="8">
        <v>48984</v>
      </c>
      <c r="U22" s="3"/>
      <c r="V22" s="7">
        <f t="shared" si="5"/>
        <v>0</v>
      </c>
      <c r="W22" s="3"/>
      <c r="X22" s="8">
        <f t="shared" si="6"/>
        <v>-165.37999999999738</v>
      </c>
      <c r="Y22" s="3"/>
      <c r="Z22" s="7">
        <f t="shared" si="7"/>
        <v>-3.3762044749305361E-3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58.23</v>
      </c>
      <c r="E23" s="3"/>
      <c r="F23" s="7">
        <f t="shared" si="0"/>
        <v>0</v>
      </c>
      <c r="G23" s="3"/>
      <c r="H23" s="8">
        <v>50.962089230769202</v>
      </c>
      <c r="I23" s="3"/>
      <c r="J23" s="7">
        <f t="shared" si="1"/>
        <v>0</v>
      </c>
      <c r="K23" s="3"/>
      <c r="L23" s="8">
        <f t="shared" si="2"/>
        <v>7.2679107692307952</v>
      </c>
      <c r="M23" s="3"/>
      <c r="N23" s="7">
        <f t="shared" si="3"/>
        <v>0.14261406623892245</v>
      </c>
      <c r="O23" s="12"/>
      <c r="P23" s="8">
        <v>487.9</v>
      </c>
      <c r="Q23" s="3"/>
      <c r="R23" s="7">
        <f t="shared" si="4"/>
        <v>0</v>
      </c>
      <c r="S23" s="3"/>
      <c r="T23" s="8">
        <v>433.19396076922999</v>
      </c>
      <c r="U23" s="3"/>
      <c r="V23" s="7">
        <f t="shared" si="5"/>
        <v>0</v>
      </c>
      <c r="W23" s="3"/>
      <c r="X23" s="8">
        <f t="shared" si="6"/>
        <v>54.706039230769989</v>
      </c>
      <c r="Y23" s="3"/>
      <c r="Z23" s="7">
        <f t="shared" si="7"/>
        <v>0.12628532293854589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2025.83</v>
      </c>
      <c r="E24" s="3"/>
      <c r="F24" s="7">
        <f t="shared" si="0"/>
        <v>0</v>
      </c>
      <c r="G24" s="3"/>
      <c r="H24" s="8">
        <v>1880.89409230769</v>
      </c>
      <c r="I24" s="3"/>
      <c r="J24" s="7">
        <f t="shared" si="1"/>
        <v>0</v>
      </c>
      <c r="K24" s="3"/>
      <c r="L24" s="8">
        <f t="shared" si="2"/>
        <v>144.93590769230991</v>
      </c>
      <c r="M24" s="3"/>
      <c r="N24" s="7">
        <f t="shared" si="3"/>
        <v>7.7056921112706789E-2</v>
      </c>
      <c r="O24" s="12"/>
      <c r="P24" s="8">
        <v>16868.84</v>
      </c>
      <c r="Q24" s="3"/>
      <c r="R24" s="7">
        <f t="shared" si="4"/>
        <v>0</v>
      </c>
      <c r="S24" s="3"/>
      <c r="T24" s="8">
        <v>16457.823307692299</v>
      </c>
      <c r="U24" s="3"/>
      <c r="V24" s="7">
        <f t="shared" si="5"/>
        <v>0</v>
      </c>
      <c r="W24" s="3"/>
      <c r="X24" s="8">
        <f t="shared" si="6"/>
        <v>411.01669230770131</v>
      </c>
      <c r="Y24" s="3"/>
      <c r="Z24" s="7">
        <f t="shared" si="7"/>
        <v>2.4973940029821215E-2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1670.34</v>
      </c>
      <c r="E26" s="3"/>
      <c r="F26" s="7">
        <f t="shared" si="0"/>
        <v>0</v>
      </c>
      <c r="G26" s="3"/>
      <c r="H26" s="8">
        <v>1093.54307692308</v>
      </c>
      <c r="I26" s="3"/>
      <c r="J26" s="7">
        <f t="shared" si="1"/>
        <v>0</v>
      </c>
      <c r="K26" s="3"/>
      <c r="L26" s="8">
        <f t="shared" si="2"/>
        <v>576.79692307691994</v>
      </c>
      <c r="M26" s="3"/>
      <c r="N26" s="7">
        <f t="shared" si="3"/>
        <v>0.52745697471732245</v>
      </c>
      <c r="O26" s="12"/>
      <c r="P26" s="8">
        <v>12918.87</v>
      </c>
      <c r="Q26" s="3"/>
      <c r="R26" s="7">
        <f t="shared" si="4"/>
        <v>0</v>
      </c>
      <c r="S26" s="3"/>
      <c r="T26" s="8">
        <v>9568.5019230769503</v>
      </c>
      <c r="U26" s="3"/>
      <c r="V26" s="7">
        <f t="shared" si="5"/>
        <v>0</v>
      </c>
      <c r="W26" s="3"/>
      <c r="X26" s="8">
        <f t="shared" si="6"/>
        <v>3350.3680769230505</v>
      </c>
      <c r="Y26" s="3"/>
      <c r="Z26" s="7">
        <f t="shared" si="7"/>
        <v>0.35014551952409184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1018.58</v>
      </c>
      <c r="E27" s="3"/>
      <c r="F27" s="7">
        <f t="shared" si="0"/>
        <v>0</v>
      </c>
      <c r="G27" s="3"/>
      <c r="H27" s="8">
        <v>1165.44707692308</v>
      </c>
      <c r="I27" s="3"/>
      <c r="J27" s="7">
        <f t="shared" si="1"/>
        <v>0</v>
      </c>
      <c r="K27" s="3"/>
      <c r="L27" s="8">
        <f t="shared" si="2"/>
        <v>-146.86707692307994</v>
      </c>
      <c r="M27" s="3"/>
      <c r="N27" s="7">
        <f t="shared" si="3"/>
        <v>-0.12601780023407552</v>
      </c>
      <c r="O27" s="12"/>
      <c r="P27" s="8">
        <v>10926.12</v>
      </c>
      <c r="Q27" s="3"/>
      <c r="R27" s="7">
        <f t="shared" si="4"/>
        <v>0</v>
      </c>
      <c r="S27" s="3"/>
      <c r="T27" s="8">
        <v>10015.885923076999</v>
      </c>
      <c r="U27" s="3"/>
      <c r="V27" s="7">
        <f t="shared" si="5"/>
        <v>0</v>
      </c>
      <c r="W27" s="3"/>
      <c r="X27" s="8">
        <f t="shared" si="6"/>
        <v>910.23407692300134</v>
      </c>
      <c r="Y27" s="3"/>
      <c r="Z27" s="7">
        <f t="shared" si="7"/>
        <v>9.0879037951678926E-2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645.57000000000005</v>
      </c>
      <c r="E28" s="3"/>
      <c r="F28" s="7">
        <f t="shared" si="0"/>
        <v>0</v>
      </c>
      <c r="G28" s="3"/>
      <c r="H28" s="8">
        <v>700</v>
      </c>
      <c r="I28" s="3"/>
      <c r="J28" s="7">
        <f t="shared" si="1"/>
        <v>0</v>
      </c>
      <c r="K28" s="3"/>
      <c r="L28" s="8">
        <f t="shared" si="2"/>
        <v>-54.42999999999995</v>
      </c>
      <c r="M28" s="3"/>
      <c r="N28" s="7">
        <f t="shared" si="3"/>
        <v>-7.7757142857142789E-2</v>
      </c>
      <c r="O28" s="12"/>
      <c r="P28" s="8">
        <v>4280.5200000000004</v>
      </c>
      <c r="Q28" s="3"/>
      <c r="R28" s="7">
        <f t="shared" si="4"/>
        <v>0</v>
      </c>
      <c r="S28" s="3"/>
      <c r="T28" s="8">
        <v>5600</v>
      </c>
      <c r="U28" s="3"/>
      <c r="V28" s="7">
        <f t="shared" si="5"/>
        <v>0</v>
      </c>
      <c r="W28" s="3"/>
      <c r="X28" s="8">
        <f t="shared" si="6"/>
        <v>-1319.4799999999996</v>
      </c>
      <c r="Y28" s="3"/>
      <c r="Z28" s="7">
        <f t="shared" si="7"/>
        <v>-0.23562142857142848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21960.2</v>
      </c>
      <c r="E29" s="2"/>
      <c r="F29" s="6">
        <f t="shared" si="0"/>
        <v>0</v>
      </c>
      <c r="G29" s="2"/>
      <c r="H29" s="2">
        <f>SUM(OSRRefH22_1x_0)</f>
        <v>22080.57538461536</v>
      </c>
      <c r="I29" s="2"/>
      <c r="J29" s="6">
        <f t="shared" si="1"/>
        <v>0</v>
      </c>
      <c r="K29" s="2"/>
      <c r="L29" s="2">
        <f t="shared" si="2"/>
        <v>-120.37538461535951</v>
      </c>
      <c r="M29" s="2"/>
      <c r="N29" s="6">
        <f t="shared" si="3"/>
        <v>-5.4516416587237597E-3</v>
      </c>
      <c r="O29" s="14"/>
      <c r="P29" s="2">
        <f>SUM(OSRRefP22_1x_0)</f>
        <v>187169.09999999998</v>
      </c>
      <c r="Q29" s="2"/>
      <c r="R29" s="6">
        <f t="shared" si="4"/>
        <v>0</v>
      </c>
      <c r="S29" s="2"/>
      <c r="T29" s="2">
        <f>SUM(OSRRefT22_1x_0)</f>
        <v>187145.83461538388</v>
      </c>
      <c r="U29" s="2"/>
      <c r="V29" s="6">
        <f t="shared" si="5"/>
        <v>0</v>
      </c>
      <c r="W29" s="2"/>
      <c r="X29" s="2">
        <f t="shared" si="6"/>
        <v>23.265384616097435</v>
      </c>
      <c r="Y29" s="2"/>
      <c r="Z29" s="6">
        <f t="shared" si="7"/>
        <v>1.2431687119252057E-4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8"/>
      <c r="E30" s="3"/>
      <c r="F30" s="7">
        <f t="shared" si="0"/>
        <v>0</v>
      </c>
      <c r="G30" s="3"/>
      <c r="H30" s="8">
        <v>5581.9661538461596</v>
      </c>
      <c r="I30" s="3"/>
      <c r="J30" s="7">
        <f t="shared" si="1"/>
        <v>0</v>
      </c>
      <c r="K30" s="3"/>
      <c r="L30" s="8">
        <f t="shared" si="2"/>
        <v>-5581.9661538461596</v>
      </c>
      <c r="M30" s="3"/>
      <c r="N30" s="7">
        <f t="shared" si="3"/>
        <v>-1</v>
      </c>
      <c r="O30" s="12"/>
      <c r="P30" s="8"/>
      <c r="Q30" s="3"/>
      <c r="R30" s="7">
        <f t="shared" si="4"/>
        <v>0</v>
      </c>
      <c r="S30" s="3"/>
      <c r="T30" s="8">
        <v>48842.203846153898</v>
      </c>
      <c r="U30" s="3"/>
      <c r="V30" s="7">
        <f t="shared" si="5"/>
        <v>0</v>
      </c>
      <c r="W30" s="3"/>
      <c r="X30" s="8">
        <f t="shared" si="6"/>
        <v>-48842.203846153898</v>
      </c>
      <c r="Y30" s="3"/>
      <c r="Z30" s="7">
        <f t="shared" si="7"/>
        <v>-1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8">
        <v>21564.080000000002</v>
      </c>
      <c r="E31" s="3"/>
      <c r="F31" s="7">
        <f t="shared" si="0"/>
        <v>0</v>
      </c>
      <c r="G31" s="3"/>
      <c r="H31" s="8">
        <v>14101.8092307692</v>
      </c>
      <c r="I31" s="3"/>
      <c r="J31" s="7">
        <f t="shared" si="1"/>
        <v>0</v>
      </c>
      <c r="K31" s="3"/>
      <c r="L31" s="8">
        <f t="shared" si="2"/>
        <v>7462.2707692308013</v>
      </c>
      <c r="M31" s="3"/>
      <c r="N31" s="7">
        <f t="shared" si="3"/>
        <v>0.52917116145271825</v>
      </c>
      <c r="O31" s="12"/>
      <c r="P31" s="8">
        <v>183766.58</v>
      </c>
      <c r="Q31" s="3"/>
      <c r="R31" s="7">
        <f t="shared" si="4"/>
        <v>0</v>
      </c>
      <c r="S31" s="3"/>
      <c r="T31" s="8">
        <v>123390.83076923</v>
      </c>
      <c r="U31" s="3"/>
      <c r="V31" s="7">
        <f t="shared" si="5"/>
        <v>0</v>
      </c>
      <c r="W31" s="3"/>
      <c r="X31" s="8">
        <f t="shared" si="6"/>
        <v>60375.749230769987</v>
      </c>
      <c r="Y31" s="3"/>
      <c r="Z31" s="7">
        <f t="shared" si="7"/>
        <v>0.48930499012270123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>
        <v>396.12</v>
      </c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396.12</v>
      </c>
      <c r="M36" s="3"/>
      <c r="N36" s="7">
        <f t="shared" si="3"/>
        <v>0</v>
      </c>
      <c r="O36" s="12"/>
      <c r="P36" s="8">
        <v>3402.52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3402.52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2396.8000000000002</v>
      </c>
      <c r="I37" s="3"/>
      <c r="J37" s="7">
        <f t="shared" si="1"/>
        <v>0</v>
      </c>
      <c r="K37" s="3"/>
      <c r="L37" s="8">
        <f t="shared" si="2"/>
        <v>-2396.8000000000002</v>
      </c>
      <c r="M37" s="3"/>
      <c r="N37" s="7">
        <f t="shared" si="3"/>
        <v>-1</v>
      </c>
      <c r="O37" s="12"/>
      <c r="P37" s="8"/>
      <c r="Q37" s="3"/>
      <c r="R37" s="7">
        <f t="shared" si="4"/>
        <v>0</v>
      </c>
      <c r="S37" s="3"/>
      <c r="T37" s="8">
        <v>14912.8</v>
      </c>
      <c r="U37" s="3"/>
      <c r="V37" s="7">
        <f t="shared" si="5"/>
        <v>0</v>
      </c>
      <c r="W37" s="3"/>
      <c r="X37" s="8">
        <f t="shared" si="6"/>
        <v>-14912.8</v>
      </c>
      <c r="Y37" s="3"/>
      <c r="Z37" s="7">
        <f t="shared" si="7"/>
        <v>-1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","Depreciation                                      ")</f>
        <v xml:space="preserve">     Depreciation                                      </v>
      </c>
      <c r="C40" s="14"/>
      <c r="D40" s="2">
        <f>SUM(OSRRefD22_2x_0)</f>
        <v>1558.84</v>
      </c>
      <c r="E40" s="2"/>
      <c r="F40" s="6">
        <f t="shared" si="0"/>
        <v>0</v>
      </c>
      <c r="G40" s="2"/>
      <c r="H40" s="2">
        <f>SUM(OSRRefH22_2x_0)</f>
        <v>1559</v>
      </c>
      <c r="I40" s="2"/>
      <c r="J40" s="6">
        <f t="shared" si="1"/>
        <v>0</v>
      </c>
      <c r="K40" s="2"/>
      <c r="L40" s="2">
        <f t="shared" si="2"/>
        <v>-0.16000000000008185</v>
      </c>
      <c r="M40" s="2"/>
      <c r="N40" s="6">
        <f t="shared" si="3"/>
        <v>-1.0262989095579336E-4</v>
      </c>
      <c r="O40" s="14"/>
      <c r="P40" s="2">
        <f>SUM(OSRRefP22_2x_0)</f>
        <v>12471</v>
      </c>
      <c r="Q40" s="2"/>
      <c r="R40" s="6">
        <f t="shared" si="4"/>
        <v>0</v>
      </c>
      <c r="S40" s="2"/>
      <c r="T40" s="2">
        <f>SUM(OSRRefT22_2x_0)</f>
        <v>12472</v>
      </c>
      <c r="U40" s="2"/>
      <c r="V40" s="6">
        <f t="shared" si="5"/>
        <v>0</v>
      </c>
      <c r="W40" s="2"/>
      <c r="X40" s="2">
        <f t="shared" si="6"/>
        <v>-1</v>
      </c>
      <c r="Y40" s="2"/>
      <c r="Z40" s="6">
        <f t="shared" si="7"/>
        <v>-8.0179602309172541E-5</v>
      </c>
    </row>
    <row r="41" spans="1:26" s="70" customFormat="1" ht="15" hidden="1" customHeight="1" outlineLevel="2" x14ac:dyDescent="0.3">
      <c r="A41" s="26"/>
      <c r="B41" s="12" t="str">
        <f>CONCATENATE("          ","6322"," - ","EQUIPMENT DEPRECIATION EXPENSE")</f>
        <v xml:space="preserve">          6322 - EQUIPMENT DEPRECIATION EXPENSE</v>
      </c>
      <c r="C41" s="12"/>
      <c r="D41" s="8">
        <v>1558.84</v>
      </c>
      <c r="E41" s="3"/>
      <c r="F41" s="7">
        <f t="shared" si="0"/>
        <v>0</v>
      </c>
      <c r="G41" s="3"/>
      <c r="H41" s="8">
        <v>1559</v>
      </c>
      <c r="I41" s="3"/>
      <c r="J41" s="7">
        <f t="shared" si="1"/>
        <v>0</v>
      </c>
      <c r="K41" s="3"/>
      <c r="L41" s="8">
        <f t="shared" si="2"/>
        <v>-0.16000000000008185</v>
      </c>
      <c r="M41" s="3"/>
      <c r="N41" s="7">
        <f t="shared" si="3"/>
        <v>-1.0262989095579336E-4</v>
      </c>
      <c r="O41" s="12"/>
      <c r="P41" s="8">
        <v>12471</v>
      </c>
      <c r="Q41" s="3"/>
      <c r="R41" s="7">
        <f t="shared" si="4"/>
        <v>0</v>
      </c>
      <c r="S41" s="3"/>
      <c r="T41" s="8">
        <v>12472</v>
      </c>
      <c r="U41" s="3"/>
      <c r="V41" s="7">
        <f t="shared" si="5"/>
        <v>0</v>
      </c>
      <c r="W41" s="3"/>
      <c r="X41" s="8">
        <f t="shared" si="6"/>
        <v>-1</v>
      </c>
      <c r="Y41" s="3"/>
      <c r="Z41" s="7">
        <f t="shared" si="7"/>
        <v>-8.0179602309172541E-5</v>
      </c>
    </row>
    <row r="42" spans="1:26" s="69" customFormat="1" ht="15" customHeight="1" outlineLevel="1" collapsed="1" x14ac:dyDescent="0.3">
      <c r="A42" s="25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8.02</v>
      </c>
      <c r="Q42" s="2"/>
      <c r="R42" s="6">
        <f t="shared" si="4"/>
        <v>0</v>
      </c>
      <c r="S42" s="2"/>
      <c r="T42" s="2">
        <f>SUM(OSRRefT22_3x_0)</f>
        <v>0</v>
      </c>
      <c r="U42" s="2"/>
      <c r="V42" s="6">
        <f t="shared" si="5"/>
        <v>0</v>
      </c>
      <c r="W42" s="2"/>
      <c r="X42" s="2">
        <f t="shared" si="6"/>
        <v>8.02</v>
      </c>
      <c r="Y42" s="2"/>
      <c r="Z42" s="6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","6277"," - ","EMPLOYEE APPRECIATION")</f>
        <v xml:space="preserve">          6277 - EMPLOYEE APPRECIATION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8.02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8.02</v>
      </c>
      <c r="Y43" s="3"/>
      <c r="Z43" s="7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","Equipment Rental                                  ")</f>
        <v xml:space="preserve">     Equipment Rental                                  </v>
      </c>
      <c r="C44" s="14"/>
      <c r="D44" s="2">
        <f>SUM(OSRRefD22_4x_0)</f>
        <v>91.26</v>
      </c>
      <c r="E44" s="2"/>
      <c r="F44" s="6">
        <f t="shared" si="0"/>
        <v>0</v>
      </c>
      <c r="G44" s="2"/>
      <c r="H44" s="2">
        <f>SUM(OSRRefH22_4x_0)</f>
        <v>91</v>
      </c>
      <c r="I44" s="2"/>
      <c r="J44" s="6">
        <f t="shared" si="1"/>
        <v>0</v>
      </c>
      <c r="K44" s="2"/>
      <c r="L44" s="2">
        <f t="shared" si="2"/>
        <v>0.26000000000000512</v>
      </c>
      <c r="M44" s="2"/>
      <c r="N44" s="6">
        <f t="shared" si="3"/>
        <v>2.8571428571429135E-3</v>
      </c>
      <c r="O44" s="14"/>
      <c r="P44" s="2">
        <f>SUM(OSRRefP22_4x_0)</f>
        <v>730.08</v>
      </c>
      <c r="Q44" s="2"/>
      <c r="R44" s="6">
        <f t="shared" si="4"/>
        <v>0</v>
      </c>
      <c r="S44" s="2"/>
      <c r="T44" s="2">
        <f>SUM(OSRRefT22_4x_0)</f>
        <v>728</v>
      </c>
      <c r="U44" s="2"/>
      <c r="V44" s="6">
        <f t="shared" si="5"/>
        <v>0</v>
      </c>
      <c r="W44" s="2"/>
      <c r="X44" s="2">
        <f t="shared" si="6"/>
        <v>2.0800000000000409</v>
      </c>
      <c r="Y44" s="2"/>
      <c r="Z44" s="6">
        <f t="shared" si="7"/>
        <v>2.8571428571429135E-3</v>
      </c>
    </row>
    <row r="45" spans="1:26" s="70" customFormat="1" ht="15" hidden="1" customHeight="1" outlineLevel="2" x14ac:dyDescent="0.3">
      <c r="A45" s="26"/>
      <c r="B45" s="12" t="str">
        <f>CONCATENATE("          ","6351"," - ","EQUIPMENT RENTAL")</f>
        <v xml:space="preserve">          6351 - EQUIPMENT RENTAL</v>
      </c>
      <c r="C45" s="12"/>
      <c r="D45" s="8">
        <v>91.26</v>
      </c>
      <c r="E45" s="3"/>
      <c r="F45" s="7">
        <f t="shared" si="0"/>
        <v>0</v>
      </c>
      <c r="G45" s="3"/>
      <c r="H45" s="8">
        <v>91</v>
      </c>
      <c r="I45" s="3"/>
      <c r="J45" s="7">
        <f t="shared" si="1"/>
        <v>0</v>
      </c>
      <c r="K45" s="3"/>
      <c r="L45" s="8">
        <f t="shared" si="2"/>
        <v>0.26000000000000512</v>
      </c>
      <c r="M45" s="3"/>
      <c r="N45" s="7">
        <f t="shared" si="3"/>
        <v>2.8571428571429135E-3</v>
      </c>
      <c r="O45" s="12"/>
      <c r="P45" s="8">
        <v>730.08</v>
      </c>
      <c r="Q45" s="3"/>
      <c r="R45" s="7">
        <f t="shared" si="4"/>
        <v>0</v>
      </c>
      <c r="S45" s="3"/>
      <c r="T45" s="8">
        <v>728</v>
      </c>
      <c r="U45" s="3"/>
      <c r="V45" s="7">
        <f t="shared" si="5"/>
        <v>0</v>
      </c>
      <c r="W45" s="3"/>
      <c r="X45" s="8">
        <f t="shared" si="6"/>
        <v>2.0800000000000409</v>
      </c>
      <c r="Y45" s="3"/>
      <c r="Z45" s="7">
        <f t="shared" si="7"/>
        <v>2.8571428571429135E-3</v>
      </c>
    </row>
    <row r="46" spans="1:26" s="69" customFormat="1" ht="15" customHeight="1" outlineLevel="1" collapsed="1" x14ac:dyDescent="0.3">
      <c r="A46" s="25"/>
      <c r="B46" s="14" t="str">
        <f>CONCATENATE("     ","Freight out/Postage                               ")</f>
        <v xml:space="preserve">     Freight out/Postage                               </v>
      </c>
      <c r="C46" s="14"/>
      <c r="D46" s="2">
        <f>SUM(OSRRefD22_5x_0)</f>
        <v>154.76</v>
      </c>
      <c r="E46" s="2"/>
      <c r="F46" s="6">
        <f t="shared" si="0"/>
        <v>0</v>
      </c>
      <c r="G46" s="2"/>
      <c r="H46" s="2">
        <f>SUM(OSRRefH22_5x_0)</f>
        <v>100</v>
      </c>
      <c r="I46" s="2"/>
      <c r="J46" s="6">
        <f t="shared" si="1"/>
        <v>0</v>
      </c>
      <c r="K46" s="2"/>
      <c r="L46" s="2">
        <f t="shared" si="2"/>
        <v>54.759999999999991</v>
      </c>
      <c r="M46" s="2"/>
      <c r="N46" s="6">
        <f t="shared" si="3"/>
        <v>0.54759999999999986</v>
      </c>
      <c r="O46" s="14"/>
      <c r="P46" s="2">
        <f>SUM(OSRRefP22_5x_0)</f>
        <v>1071.25</v>
      </c>
      <c r="Q46" s="2"/>
      <c r="R46" s="6">
        <f t="shared" si="4"/>
        <v>0</v>
      </c>
      <c r="S46" s="2"/>
      <c r="T46" s="2">
        <f>SUM(OSRRefT22_5x_0)</f>
        <v>800</v>
      </c>
      <c r="U46" s="2"/>
      <c r="V46" s="6">
        <f t="shared" si="5"/>
        <v>0</v>
      </c>
      <c r="W46" s="2"/>
      <c r="X46" s="2">
        <f t="shared" si="6"/>
        <v>271.25</v>
      </c>
      <c r="Y46" s="2"/>
      <c r="Z46" s="6">
        <f t="shared" si="7"/>
        <v>0.33906249999999999</v>
      </c>
    </row>
    <row r="47" spans="1:26" s="70" customFormat="1" ht="15" hidden="1" customHeight="1" outlineLevel="2" x14ac:dyDescent="0.3">
      <c r="A47" s="26"/>
      <c r="B47" s="12" t="str">
        <f>CONCATENATE("          ","6307"," - ","POSTAGE")</f>
        <v xml:space="preserve">          6307 - POSTAGE</v>
      </c>
      <c r="C47" s="12"/>
      <c r="D47" s="8">
        <v>154.76</v>
      </c>
      <c r="E47" s="3"/>
      <c r="F47" s="7">
        <f t="shared" si="0"/>
        <v>0</v>
      </c>
      <c r="G47" s="3"/>
      <c r="H47" s="8">
        <v>100</v>
      </c>
      <c r="I47" s="3"/>
      <c r="J47" s="7">
        <f t="shared" si="1"/>
        <v>0</v>
      </c>
      <c r="K47" s="3"/>
      <c r="L47" s="8">
        <f t="shared" si="2"/>
        <v>54.759999999999991</v>
      </c>
      <c r="M47" s="3"/>
      <c r="N47" s="7">
        <f t="shared" si="3"/>
        <v>0.54759999999999986</v>
      </c>
      <c r="O47" s="12"/>
      <c r="P47" s="8">
        <v>1071.25</v>
      </c>
      <c r="Q47" s="3"/>
      <c r="R47" s="7">
        <f t="shared" si="4"/>
        <v>0</v>
      </c>
      <c r="S47" s="3"/>
      <c r="T47" s="8">
        <v>800</v>
      </c>
      <c r="U47" s="3"/>
      <c r="V47" s="7">
        <f t="shared" si="5"/>
        <v>0</v>
      </c>
      <c r="W47" s="3"/>
      <c r="X47" s="8">
        <f t="shared" si="6"/>
        <v>271.25</v>
      </c>
      <c r="Y47" s="3"/>
      <c r="Z47" s="7">
        <f t="shared" si="7"/>
        <v>0.33906249999999999</v>
      </c>
    </row>
    <row r="48" spans="1:26" s="69" customFormat="1" ht="15" customHeight="1" outlineLevel="1" collapsed="1" x14ac:dyDescent="0.3">
      <c r="A48" s="25"/>
      <c r="B48" s="14" t="str">
        <f>CONCATENATE("     ","Insurance                                         ")</f>
        <v xml:space="preserve">     Insurance                                         </v>
      </c>
      <c r="C48" s="14"/>
      <c r="D48" s="2">
        <f>SUM(OSRRefD22_6x_0)</f>
        <v>179.64</v>
      </c>
      <c r="E48" s="2"/>
      <c r="F48" s="6">
        <f t="shared" si="0"/>
        <v>0</v>
      </c>
      <c r="G48" s="2"/>
      <c r="H48" s="2">
        <f>SUM(OSRRefH22_6x_0)</f>
        <v>180</v>
      </c>
      <c r="I48" s="2"/>
      <c r="J48" s="6">
        <f t="shared" si="1"/>
        <v>0</v>
      </c>
      <c r="K48" s="2"/>
      <c r="L48" s="2">
        <f t="shared" si="2"/>
        <v>-0.36000000000001364</v>
      </c>
      <c r="M48" s="2"/>
      <c r="N48" s="6">
        <f t="shared" si="3"/>
        <v>-2.0000000000000759E-3</v>
      </c>
      <c r="O48" s="14"/>
      <c r="P48" s="2">
        <f>SUM(OSRRefP22_6x_0)</f>
        <v>1437.12</v>
      </c>
      <c r="Q48" s="2"/>
      <c r="R48" s="6">
        <f t="shared" si="4"/>
        <v>0</v>
      </c>
      <c r="S48" s="2"/>
      <c r="T48" s="2">
        <f>SUM(OSRRefT22_6x_0)</f>
        <v>1440</v>
      </c>
      <c r="U48" s="2"/>
      <c r="V48" s="6">
        <f t="shared" si="5"/>
        <v>0</v>
      </c>
      <c r="W48" s="2"/>
      <c r="X48" s="2">
        <f t="shared" si="6"/>
        <v>-2.8800000000001091</v>
      </c>
      <c r="Y48" s="2"/>
      <c r="Z48" s="6">
        <f t="shared" si="7"/>
        <v>-2.0000000000000759E-3</v>
      </c>
    </row>
    <row r="49" spans="1:26" s="70" customFormat="1" ht="15" hidden="1" customHeight="1" outlineLevel="2" x14ac:dyDescent="0.3">
      <c r="A49" s="26"/>
      <c r="B49" s="12" t="str">
        <f>CONCATENATE("          ","6314"," - ","LIABILITY INSURANCE")</f>
        <v xml:space="preserve">          6314 - LIABILITY INSURANCE</v>
      </c>
      <c r="C49" s="12"/>
      <c r="D49" s="8">
        <v>179.64</v>
      </c>
      <c r="E49" s="3"/>
      <c r="F49" s="7">
        <f t="shared" si="0"/>
        <v>0</v>
      </c>
      <c r="G49" s="3"/>
      <c r="H49" s="8">
        <v>180</v>
      </c>
      <c r="I49" s="3"/>
      <c r="J49" s="7">
        <f t="shared" si="1"/>
        <v>0</v>
      </c>
      <c r="K49" s="3"/>
      <c r="L49" s="8">
        <f t="shared" si="2"/>
        <v>-0.36000000000001364</v>
      </c>
      <c r="M49" s="3"/>
      <c r="N49" s="7">
        <f t="shared" si="3"/>
        <v>-2.0000000000000759E-3</v>
      </c>
      <c r="O49" s="12"/>
      <c r="P49" s="8">
        <v>1437.12</v>
      </c>
      <c r="Q49" s="3"/>
      <c r="R49" s="7">
        <f t="shared" si="4"/>
        <v>0</v>
      </c>
      <c r="S49" s="3"/>
      <c r="T49" s="8">
        <v>1440</v>
      </c>
      <c r="U49" s="3"/>
      <c r="V49" s="7">
        <f t="shared" si="5"/>
        <v>0</v>
      </c>
      <c r="W49" s="3"/>
      <c r="X49" s="8">
        <f t="shared" si="6"/>
        <v>-2.8800000000001091</v>
      </c>
      <c r="Y49" s="3"/>
      <c r="Z49" s="7">
        <f t="shared" si="7"/>
        <v>-2.0000000000000759E-3</v>
      </c>
    </row>
    <row r="50" spans="1:26" s="69" customFormat="1" ht="15" customHeight="1" outlineLevel="1" collapsed="1" x14ac:dyDescent="0.3">
      <c r="A50" s="25"/>
      <c r="B50" s="14" t="str">
        <f>CONCATENATE("     ","Repair and Maintenance                            ")</f>
        <v xml:space="preserve">     Repair and Maintenance                            </v>
      </c>
      <c r="C50" s="14"/>
      <c r="D50" s="2">
        <f>SUM(OSRRefD22_7x_0)</f>
        <v>73.36</v>
      </c>
      <c r="E50" s="2"/>
      <c r="F50" s="6">
        <f t="shared" si="0"/>
        <v>0</v>
      </c>
      <c r="G50" s="2"/>
      <c r="H50" s="2">
        <f>SUM(OSRRefH22_7x_0)</f>
        <v>11210</v>
      </c>
      <c r="I50" s="2"/>
      <c r="J50" s="6">
        <f t="shared" si="1"/>
        <v>0</v>
      </c>
      <c r="K50" s="2"/>
      <c r="L50" s="2">
        <f t="shared" si="2"/>
        <v>-11136.64</v>
      </c>
      <c r="M50" s="2"/>
      <c r="N50" s="6">
        <f t="shared" si="3"/>
        <v>-0.99345584299732381</v>
      </c>
      <c r="O50" s="14"/>
      <c r="P50" s="2">
        <f>SUM(OSRRefP22_7x_0)</f>
        <v>7275.8099999999995</v>
      </c>
      <c r="Q50" s="2"/>
      <c r="R50" s="6">
        <f t="shared" si="4"/>
        <v>0</v>
      </c>
      <c r="S50" s="2"/>
      <c r="T50" s="2">
        <f>SUM(OSRRefT22_7x_0)</f>
        <v>17180</v>
      </c>
      <c r="U50" s="2"/>
      <c r="V50" s="6">
        <f t="shared" si="5"/>
        <v>0</v>
      </c>
      <c r="W50" s="2"/>
      <c r="X50" s="2">
        <f t="shared" si="6"/>
        <v>-9904.19</v>
      </c>
      <c r="Y50" s="2"/>
      <c r="Z50" s="6">
        <f t="shared" si="7"/>
        <v>-0.57649534342258446</v>
      </c>
    </row>
    <row r="51" spans="1:26" s="70" customFormat="1" ht="15" hidden="1" customHeight="1" outlineLevel="2" x14ac:dyDescent="0.3">
      <c r="A51" s="26"/>
      <c r="B51" s="12" t="str">
        <f>CONCATENATE("          ","6371"," - ","COMPUTER SOFTWARE MAINTENANCE")</f>
        <v xml:space="preserve">          6371 - COMPUTER SOFTWARE MAINTENANCE</v>
      </c>
      <c r="C51" s="12"/>
      <c r="D51" s="8">
        <v>59.95</v>
      </c>
      <c r="E51" s="3"/>
      <c r="F51" s="7">
        <f t="shared" si="0"/>
        <v>0</v>
      </c>
      <c r="G51" s="3"/>
      <c r="H51" s="8">
        <v>11000</v>
      </c>
      <c r="I51" s="3"/>
      <c r="J51" s="7">
        <f t="shared" si="1"/>
        <v>0</v>
      </c>
      <c r="K51" s="3"/>
      <c r="L51" s="8">
        <f t="shared" si="2"/>
        <v>-10940.05</v>
      </c>
      <c r="M51" s="3"/>
      <c r="N51" s="7">
        <f t="shared" si="3"/>
        <v>-0.99454999999999993</v>
      </c>
      <c r="O51" s="12"/>
      <c r="P51" s="8">
        <v>479.6</v>
      </c>
      <c r="Q51" s="3"/>
      <c r="R51" s="7">
        <f t="shared" si="4"/>
        <v>0</v>
      </c>
      <c r="S51" s="3"/>
      <c r="T51" s="8">
        <v>11000</v>
      </c>
      <c r="U51" s="3"/>
      <c r="V51" s="7">
        <f t="shared" si="5"/>
        <v>0</v>
      </c>
      <c r="W51" s="3"/>
      <c r="X51" s="8">
        <f t="shared" si="6"/>
        <v>-10520.4</v>
      </c>
      <c r="Y51" s="3"/>
      <c r="Z51" s="7">
        <f t="shared" si="7"/>
        <v>-0.95639999999999992</v>
      </c>
    </row>
    <row r="52" spans="1:26" s="70" customFormat="1" ht="15" hidden="1" customHeight="1" outlineLevel="2" x14ac:dyDescent="0.3">
      <c r="A52" s="26"/>
      <c r="B52" s="12" t="str">
        <f>CONCATENATE("          ","6373"," - ","MAINTENANCE CONTRACTS")</f>
        <v xml:space="preserve">          6373 - MAINTENANCE CONTRACTS</v>
      </c>
      <c r="C52" s="12"/>
      <c r="D52" s="8">
        <v>13.41</v>
      </c>
      <c r="E52" s="3"/>
      <c r="F52" s="7">
        <f t="shared" si="0"/>
        <v>0</v>
      </c>
      <c r="G52" s="3"/>
      <c r="H52" s="8">
        <v>60</v>
      </c>
      <c r="I52" s="3"/>
      <c r="J52" s="7">
        <f t="shared" si="1"/>
        <v>0</v>
      </c>
      <c r="K52" s="3"/>
      <c r="L52" s="8">
        <f t="shared" si="2"/>
        <v>-46.59</v>
      </c>
      <c r="M52" s="3"/>
      <c r="N52" s="7">
        <f t="shared" si="3"/>
        <v>-0.77650000000000008</v>
      </c>
      <c r="O52" s="12"/>
      <c r="P52" s="8">
        <v>5238.6499999999996</v>
      </c>
      <c r="Q52" s="3"/>
      <c r="R52" s="7">
        <f t="shared" si="4"/>
        <v>0</v>
      </c>
      <c r="S52" s="3"/>
      <c r="T52" s="8">
        <v>4980</v>
      </c>
      <c r="U52" s="3"/>
      <c r="V52" s="7">
        <f t="shared" si="5"/>
        <v>0</v>
      </c>
      <c r="W52" s="3"/>
      <c r="X52" s="8">
        <f t="shared" si="6"/>
        <v>258.64999999999964</v>
      </c>
      <c r="Y52" s="3"/>
      <c r="Z52" s="7">
        <f t="shared" si="7"/>
        <v>5.1937751004015993E-2</v>
      </c>
    </row>
    <row r="53" spans="1:26" s="70" customFormat="1" ht="15" hidden="1" customHeight="1" outlineLevel="2" x14ac:dyDescent="0.3">
      <c r="A53" s="26"/>
      <c r="B53" s="12" t="str">
        <f>CONCATENATE("          ","6375"," - ","OUTSIDE REPAIRS &amp; MAINTENANCE")</f>
        <v xml:space="preserve">          6375 - OUTSIDE REPAIRS &amp; MAINTENANCE</v>
      </c>
      <c r="C53" s="12"/>
      <c r="D53" s="8"/>
      <c r="E53" s="3"/>
      <c r="F53" s="7">
        <f t="shared" si="0"/>
        <v>0</v>
      </c>
      <c r="G53" s="3"/>
      <c r="H53" s="8">
        <v>150</v>
      </c>
      <c r="I53" s="3"/>
      <c r="J53" s="7">
        <f t="shared" si="1"/>
        <v>0</v>
      </c>
      <c r="K53" s="3"/>
      <c r="L53" s="8">
        <f t="shared" si="2"/>
        <v>-150</v>
      </c>
      <c r="M53" s="3"/>
      <c r="N53" s="7">
        <f t="shared" si="3"/>
        <v>-1</v>
      </c>
      <c r="O53" s="12"/>
      <c r="P53" s="8">
        <v>1557.56</v>
      </c>
      <c r="Q53" s="3"/>
      <c r="R53" s="7">
        <f t="shared" si="4"/>
        <v>0</v>
      </c>
      <c r="S53" s="3"/>
      <c r="T53" s="8">
        <v>1200</v>
      </c>
      <c r="U53" s="3"/>
      <c r="V53" s="7">
        <f t="shared" si="5"/>
        <v>0</v>
      </c>
      <c r="W53" s="3"/>
      <c r="X53" s="8">
        <f t="shared" si="6"/>
        <v>357.55999999999995</v>
      </c>
      <c r="Y53" s="3"/>
      <c r="Z53" s="7">
        <f t="shared" si="7"/>
        <v>0.2979666666666666</v>
      </c>
    </row>
    <row r="54" spans="1:26" s="69" customFormat="1" ht="15" customHeight="1" outlineLevel="1" collapsed="1" x14ac:dyDescent="0.3">
      <c r="A54" s="25"/>
      <c r="B54" s="14" t="str">
        <f>CONCATENATE("     ","Services                                          ")</f>
        <v xml:space="preserve">     Services                                          </v>
      </c>
      <c r="C54" s="14"/>
      <c r="D54" s="2">
        <f>SUM(OSRRefD22_8x_0)</f>
        <v>961.14</v>
      </c>
      <c r="E54" s="2"/>
      <c r="F54" s="6">
        <f t="shared" si="0"/>
        <v>0</v>
      </c>
      <c r="G54" s="2"/>
      <c r="H54" s="2">
        <f>SUM(OSRRefH22_8x_0)</f>
        <v>625</v>
      </c>
      <c r="I54" s="2"/>
      <c r="J54" s="6">
        <f t="shared" si="1"/>
        <v>0</v>
      </c>
      <c r="K54" s="2"/>
      <c r="L54" s="2">
        <f t="shared" si="2"/>
        <v>336.14</v>
      </c>
      <c r="M54" s="2"/>
      <c r="N54" s="6">
        <f t="shared" si="3"/>
        <v>0.53782399999999997</v>
      </c>
      <c r="O54" s="14"/>
      <c r="P54" s="2">
        <f>SUM(OSRRefP22_8x_0)</f>
        <v>6166.6</v>
      </c>
      <c r="Q54" s="2"/>
      <c r="R54" s="6">
        <f t="shared" si="4"/>
        <v>0</v>
      </c>
      <c r="S54" s="2"/>
      <c r="T54" s="2">
        <f>SUM(OSRRefT22_8x_0)</f>
        <v>5000</v>
      </c>
      <c r="U54" s="2"/>
      <c r="V54" s="6">
        <f t="shared" si="5"/>
        <v>0</v>
      </c>
      <c r="W54" s="2"/>
      <c r="X54" s="2">
        <f t="shared" si="6"/>
        <v>1166.6000000000004</v>
      </c>
      <c r="Y54" s="2"/>
      <c r="Z54" s="6">
        <f t="shared" si="7"/>
        <v>0.23332000000000008</v>
      </c>
    </row>
    <row r="55" spans="1:26" s="70" customFormat="1" ht="15" hidden="1" customHeight="1" outlineLevel="2" x14ac:dyDescent="0.3">
      <c r="A55" s="26"/>
      <c r="B55" s="12" t="str">
        <f>CONCATENATE("          ","6281"," - ","STORAGE FEE")</f>
        <v xml:space="preserve">          6281 - STORAGE FEE</v>
      </c>
      <c r="C55" s="12"/>
      <c r="D55" s="8">
        <v>961.14</v>
      </c>
      <c r="E55" s="3"/>
      <c r="F55" s="7">
        <f t="shared" si="0"/>
        <v>0</v>
      </c>
      <c r="G55" s="3"/>
      <c r="H55" s="8">
        <v>625</v>
      </c>
      <c r="I55" s="3"/>
      <c r="J55" s="7">
        <f t="shared" si="1"/>
        <v>0</v>
      </c>
      <c r="K55" s="3"/>
      <c r="L55" s="8">
        <f t="shared" si="2"/>
        <v>336.14</v>
      </c>
      <c r="M55" s="3"/>
      <c r="N55" s="7">
        <f t="shared" si="3"/>
        <v>0.53782399999999997</v>
      </c>
      <c r="O55" s="12"/>
      <c r="P55" s="8">
        <v>6166.6</v>
      </c>
      <c r="Q55" s="3"/>
      <c r="R55" s="7">
        <f t="shared" si="4"/>
        <v>0</v>
      </c>
      <c r="S55" s="3"/>
      <c r="T55" s="8">
        <v>5000</v>
      </c>
      <c r="U55" s="3"/>
      <c r="V55" s="7">
        <f t="shared" si="5"/>
        <v>0</v>
      </c>
      <c r="W55" s="3"/>
      <c r="X55" s="8">
        <f t="shared" si="6"/>
        <v>1166.6000000000004</v>
      </c>
      <c r="Y55" s="3"/>
      <c r="Z55" s="7">
        <f t="shared" si="7"/>
        <v>0.23332000000000008</v>
      </c>
    </row>
    <row r="56" spans="1:26" s="69" customFormat="1" ht="15" customHeight="1" outlineLevel="1" collapsed="1" x14ac:dyDescent="0.3">
      <c r="A56" s="25"/>
      <c r="B56" s="14" t="str">
        <f>CONCATENATE("     ","Supplies                                          ")</f>
        <v xml:space="preserve">     Supplies                                          </v>
      </c>
      <c r="C56" s="14"/>
      <c r="D56" s="2">
        <f>SUM(OSRRefD22_9x_0)</f>
        <v>126.09</v>
      </c>
      <c r="E56" s="2"/>
      <c r="F56" s="6">
        <f t="shared" si="0"/>
        <v>0</v>
      </c>
      <c r="G56" s="2"/>
      <c r="H56" s="2">
        <f>SUM(OSRRefH22_9x_0)</f>
        <v>100</v>
      </c>
      <c r="I56" s="2"/>
      <c r="J56" s="6">
        <f t="shared" si="1"/>
        <v>0</v>
      </c>
      <c r="K56" s="2"/>
      <c r="L56" s="2">
        <f t="shared" si="2"/>
        <v>26.090000000000003</v>
      </c>
      <c r="M56" s="2"/>
      <c r="N56" s="6">
        <f t="shared" si="3"/>
        <v>0.26090000000000002</v>
      </c>
      <c r="O56" s="14"/>
      <c r="P56" s="2">
        <f>SUM(OSRRefP22_9x_0)</f>
        <v>1782.55</v>
      </c>
      <c r="Q56" s="2"/>
      <c r="R56" s="6">
        <f t="shared" si="4"/>
        <v>0</v>
      </c>
      <c r="S56" s="2"/>
      <c r="T56" s="2">
        <f>SUM(OSRRefT22_9x_0)</f>
        <v>800</v>
      </c>
      <c r="U56" s="2"/>
      <c r="V56" s="6">
        <f t="shared" si="5"/>
        <v>0</v>
      </c>
      <c r="W56" s="2"/>
      <c r="X56" s="2">
        <f t="shared" si="6"/>
        <v>982.55</v>
      </c>
      <c r="Y56" s="2"/>
      <c r="Z56" s="6">
        <f t="shared" si="7"/>
        <v>1.2281875</v>
      </c>
    </row>
    <row r="57" spans="1:26" s="70" customFormat="1" ht="15" hidden="1" customHeight="1" outlineLevel="2" x14ac:dyDescent="0.3">
      <c r="A57" s="26"/>
      <c r="B57" s="12" t="str">
        <f>CONCATENATE("          ","6241"," - ","OFFICE EXPENSE")</f>
        <v xml:space="preserve">          6241 - OFFICE EXPENSE</v>
      </c>
      <c r="C57" s="12"/>
      <c r="D57" s="8">
        <v>126.09</v>
      </c>
      <c r="E57" s="3"/>
      <c r="F57" s="7">
        <f t="shared" si="0"/>
        <v>0</v>
      </c>
      <c r="G57" s="3"/>
      <c r="H57" s="8">
        <v>100</v>
      </c>
      <c r="I57" s="3"/>
      <c r="J57" s="7">
        <f t="shared" si="1"/>
        <v>0</v>
      </c>
      <c r="K57" s="3"/>
      <c r="L57" s="8">
        <f t="shared" si="2"/>
        <v>26.090000000000003</v>
      </c>
      <c r="M57" s="3"/>
      <c r="N57" s="7">
        <f t="shared" si="3"/>
        <v>0.26090000000000002</v>
      </c>
      <c r="O57" s="12"/>
      <c r="P57" s="8">
        <v>1782.55</v>
      </c>
      <c r="Q57" s="3"/>
      <c r="R57" s="7">
        <f t="shared" si="4"/>
        <v>0</v>
      </c>
      <c r="S57" s="3"/>
      <c r="T57" s="8">
        <v>800</v>
      </c>
      <c r="U57" s="3"/>
      <c r="V57" s="7">
        <f t="shared" si="5"/>
        <v>0</v>
      </c>
      <c r="W57" s="3"/>
      <c r="X57" s="8">
        <f t="shared" si="6"/>
        <v>982.55</v>
      </c>
      <c r="Y57" s="3"/>
      <c r="Z57" s="7">
        <f t="shared" si="7"/>
        <v>1.2281875</v>
      </c>
    </row>
    <row r="58" spans="1:26" s="69" customFormat="1" ht="15" customHeight="1" outlineLevel="1" collapsed="1" x14ac:dyDescent="0.3">
      <c r="A58" s="25"/>
      <c r="B58" s="14" t="str">
        <f>CONCATENATE("     ","Telephone/Data Lines                              ")</f>
        <v xml:space="preserve">     Telephone/Data Lines                              </v>
      </c>
      <c r="C58" s="14"/>
      <c r="D58" s="2">
        <f>SUM(OSRRefD22_10x_0)</f>
        <v>456.47</v>
      </c>
      <c r="E58" s="2"/>
      <c r="F58" s="6">
        <f t="shared" si="0"/>
        <v>0</v>
      </c>
      <c r="G58" s="2"/>
      <c r="H58" s="2">
        <f>SUM(OSRRefH22_10x_0)</f>
        <v>400</v>
      </c>
      <c r="I58" s="2"/>
      <c r="J58" s="6">
        <f t="shared" si="1"/>
        <v>0</v>
      </c>
      <c r="K58" s="2"/>
      <c r="L58" s="2">
        <f t="shared" si="2"/>
        <v>56.470000000000027</v>
      </c>
      <c r="M58" s="2"/>
      <c r="N58" s="6">
        <f t="shared" si="3"/>
        <v>0.14117500000000008</v>
      </c>
      <c r="O58" s="14"/>
      <c r="P58" s="2">
        <f>SUM(OSRRefP22_10x_0)</f>
        <v>3437.12</v>
      </c>
      <c r="Q58" s="2"/>
      <c r="R58" s="6">
        <f t="shared" si="4"/>
        <v>0</v>
      </c>
      <c r="S58" s="2"/>
      <c r="T58" s="2">
        <f>SUM(OSRRefT22_10x_0)</f>
        <v>3200</v>
      </c>
      <c r="U58" s="2"/>
      <c r="V58" s="6">
        <f t="shared" si="5"/>
        <v>0</v>
      </c>
      <c r="W58" s="2"/>
      <c r="X58" s="2">
        <f t="shared" si="6"/>
        <v>237.11999999999989</v>
      </c>
      <c r="Y58" s="2"/>
      <c r="Z58" s="6">
        <f t="shared" si="7"/>
        <v>7.4099999999999971E-2</v>
      </c>
    </row>
    <row r="59" spans="1:26" s="70" customFormat="1" ht="15" hidden="1" customHeight="1" outlineLevel="2" x14ac:dyDescent="0.3">
      <c r="A59" s="26"/>
      <c r="B59" s="12" t="str">
        <f>CONCATENATE("          ","6309"," - ","TELEPHONE")</f>
        <v xml:space="preserve">          6309 - TELEPHONE</v>
      </c>
      <c r="C59" s="12"/>
      <c r="D59" s="8">
        <v>456.47</v>
      </c>
      <c r="E59" s="3"/>
      <c r="F59" s="7">
        <f t="shared" si="0"/>
        <v>0</v>
      </c>
      <c r="G59" s="3"/>
      <c r="H59" s="8">
        <v>400</v>
      </c>
      <c r="I59" s="3"/>
      <c r="J59" s="7">
        <f t="shared" si="1"/>
        <v>0</v>
      </c>
      <c r="K59" s="3"/>
      <c r="L59" s="8">
        <f t="shared" si="2"/>
        <v>56.470000000000027</v>
      </c>
      <c r="M59" s="3"/>
      <c r="N59" s="7">
        <f t="shared" si="3"/>
        <v>0.14117500000000008</v>
      </c>
      <c r="O59" s="12"/>
      <c r="P59" s="8">
        <v>3437.12</v>
      </c>
      <c r="Q59" s="3"/>
      <c r="R59" s="7">
        <f t="shared" si="4"/>
        <v>0</v>
      </c>
      <c r="S59" s="3"/>
      <c r="T59" s="8">
        <v>3200</v>
      </c>
      <c r="U59" s="3"/>
      <c r="V59" s="7">
        <f t="shared" si="5"/>
        <v>0</v>
      </c>
      <c r="W59" s="3"/>
      <c r="X59" s="8">
        <f t="shared" si="6"/>
        <v>237.11999999999989</v>
      </c>
      <c r="Y59" s="3"/>
      <c r="Z59" s="7">
        <f t="shared" si="7"/>
        <v>7.4099999999999971E-2</v>
      </c>
    </row>
    <row r="60" spans="1:26" s="69" customFormat="1" ht="15" customHeight="1" outlineLevel="1" collapsed="1" x14ac:dyDescent="0.3">
      <c r="A60" s="25"/>
      <c r="B60" s="14" t="str">
        <f>CONCATENATE("     ","Training                                          ")</f>
        <v xml:space="preserve">     Training                                          </v>
      </c>
      <c r="C60" s="14"/>
      <c r="D60" s="2">
        <f>SUM(OSRRefD22_11x_0)</f>
        <v>0</v>
      </c>
      <c r="E60" s="2"/>
      <c r="F60" s="6">
        <f t="shared" si="0"/>
        <v>0</v>
      </c>
      <c r="G60" s="2"/>
      <c r="H60" s="2">
        <f>SUM(OSRRefH22_11x_0)</f>
        <v>0</v>
      </c>
      <c r="I60" s="2"/>
      <c r="J60" s="6">
        <f t="shared" si="1"/>
        <v>0</v>
      </c>
      <c r="K60" s="2"/>
      <c r="L60" s="2">
        <f t="shared" si="2"/>
        <v>0</v>
      </c>
      <c r="M60" s="2"/>
      <c r="N60" s="6">
        <f t="shared" si="3"/>
        <v>0</v>
      </c>
      <c r="O60" s="14"/>
      <c r="P60" s="2">
        <f>SUM(OSRRefP22_11x_0)</f>
        <v>595</v>
      </c>
      <c r="Q60" s="2"/>
      <c r="R60" s="6">
        <f t="shared" si="4"/>
        <v>0</v>
      </c>
      <c r="S60" s="2"/>
      <c r="T60" s="2">
        <f>SUM(OSRRefT22_11x_0)</f>
        <v>3000</v>
      </c>
      <c r="U60" s="2"/>
      <c r="V60" s="6">
        <f t="shared" si="5"/>
        <v>0</v>
      </c>
      <c r="W60" s="2"/>
      <c r="X60" s="2">
        <f t="shared" si="6"/>
        <v>-2405</v>
      </c>
      <c r="Y60" s="2"/>
      <c r="Z60" s="6">
        <f t="shared" si="7"/>
        <v>-0.80166666666666664</v>
      </c>
    </row>
    <row r="61" spans="1:26" s="70" customFormat="1" ht="15" hidden="1" customHeight="1" outlineLevel="2" x14ac:dyDescent="0.3">
      <c r="A61" s="26"/>
      <c r="B61" s="12" t="str">
        <f>CONCATENATE("          ","6376"," - ","TRAINING")</f>
        <v xml:space="preserve">          6376 - TRAINING</v>
      </c>
      <c r="C61" s="12"/>
      <c r="D61" s="8"/>
      <c r="E61" s="3"/>
      <c r="F61" s="7">
        <f t="shared" si="0"/>
        <v>0</v>
      </c>
      <c r="G61" s="3"/>
      <c r="H61" s="8"/>
      <c r="I61" s="3"/>
      <c r="J61" s="7">
        <f t="shared" si="1"/>
        <v>0</v>
      </c>
      <c r="K61" s="3"/>
      <c r="L61" s="8">
        <f t="shared" si="2"/>
        <v>0</v>
      </c>
      <c r="M61" s="3"/>
      <c r="N61" s="7">
        <f t="shared" si="3"/>
        <v>0</v>
      </c>
      <c r="O61" s="12"/>
      <c r="P61" s="8">
        <v>595</v>
      </c>
      <c r="Q61" s="3"/>
      <c r="R61" s="7">
        <f t="shared" si="4"/>
        <v>0</v>
      </c>
      <c r="S61" s="3"/>
      <c r="T61" s="8">
        <v>3000</v>
      </c>
      <c r="U61" s="3"/>
      <c r="V61" s="7">
        <f t="shared" si="5"/>
        <v>0</v>
      </c>
      <c r="W61" s="3"/>
      <c r="X61" s="8">
        <f t="shared" si="6"/>
        <v>-2405</v>
      </c>
      <c r="Y61" s="3"/>
      <c r="Z61" s="7">
        <f t="shared" si="7"/>
        <v>-0.80166666666666664</v>
      </c>
    </row>
    <row r="62" spans="1:26" s="69" customFormat="1" ht="15" customHeight="1" outlineLevel="1" collapsed="1" x14ac:dyDescent="0.3">
      <c r="A62" s="25"/>
      <c r="B62" s="14" t="str">
        <f>CONCATENATE("     ","Travel                                            ")</f>
        <v xml:space="preserve">     Travel                                            </v>
      </c>
      <c r="C62" s="14"/>
      <c r="D62" s="2">
        <f>SUM(OSRRefD22_12x_0)</f>
        <v>0</v>
      </c>
      <c r="E62" s="2"/>
      <c r="F62" s="6">
        <f t="shared" si="0"/>
        <v>0</v>
      </c>
      <c r="G62" s="2"/>
      <c r="H62" s="2">
        <f>SUM(OSRRefH22_12x_0)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SUM(OSRRefP22_12x_0)</f>
        <v>30.4</v>
      </c>
      <c r="Q62" s="2"/>
      <c r="R62" s="6">
        <f t="shared" si="4"/>
        <v>0</v>
      </c>
      <c r="S62" s="2"/>
      <c r="T62" s="2">
        <f>SUM(OSRRefT22_12x_0)</f>
        <v>0</v>
      </c>
      <c r="U62" s="2"/>
      <c r="V62" s="6">
        <f t="shared" si="5"/>
        <v>0</v>
      </c>
      <c r="W62" s="2"/>
      <c r="X62" s="2">
        <f t="shared" si="6"/>
        <v>30.4</v>
      </c>
      <c r="Y62" s="2"/>
      <c r="Z62" s="6">
        <f t="shared" si="7"/>
        <v>0</v>
      </c>
    </row>
    <row r="63" spans="1:26" s="70" customFormat="1" ht="15" hidden="1" customHeight="1" outlineLevel="2" x14ac:dyDescent="0.3">
      <c r="A63" s="26"/>
      <c r="B63" s="12" t="str">
        <f>CONCATENATE("          ","6294"," - ","TRAVEL OPERATIONAL")</f>
        <v xml:space="preserve">          6294 - TRAVEL OPERATIONAL</v>
      </c>
      <c r="C63" s="12"/>
      <c r="D63" s="8"/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0</v>
      </c>
      <c r="M63" s="3"/>
      <c r="N63" s="7">
        <f t="shared" si="3"/>
        <v>0</v>
      </c>
      <c r="O63" s="12"/>
      <c r="P63" s="8">
        <v>30.4</v>
      </c>
      <c r="Q63" s="3"/>
      <c r="R63" s="7">
        <f t="shared" si="4"/>
        <v>0</v>
      </c>
      <c r="S63" s="3"/>
      <c r="T63" s="8"/>
      <c r="U63" s="3"/>
      <c r="V63" s="7">
        <f t="shared" si="5"/>
        <v>0</v>
      </c>
      <c r="W63" s="3"/>
      <c r="X63" s="8">
        <f t="shared" si="6"/>
        <v>30.4</v>
      </c>
      <c r="Y63" s="3"/>
      <c r="Z63" s="7">
        <f t="shared" si="7"/>
        <v>0</v>
      </c>
    </row>
    <row r="64" spans="1:26" s="65" customFormat="1" ht="15" customHeight="1" x14ac:dyDescent="0.3">
      <c r="A64" s="35"/>
      <c r="B64" s="35"/>
      <c r="C64" s="35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5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3" customFormat="1" ht="15" customHeight="1" x14ac:dyDescent="0.3">
      <c r="A65" s="11"/>
      <c r="B65" s="27" t="s">
        <v>291</v>
      </c>
      <c r="C65" s="11"/>
      <c r="D65" s="5">
        <f>SUM(0)</f>
        <v>0</v>
      </c>
      <c r="E65" s="5"/>
      <c r="F65" s="13">
        <f>IF(D$12=0,0,D65/D$12)</f>
        <v>0</v>
      </c>
      <c r="G65" s="5"/>
      <c r="H65" s="5">
        <f>SUM(0)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SUM(0)</f>
        <v>0</v>
      </c>
      <c r="Q65" s="5"/>
      <c r="R65" s="13">
        <f>IF(P$12=0,0,P65/P$12)</f>
        <v>0</v>
      </c>
      <c r="S65" s="5"/>
      <c r="T65" s="5">
        <f>SUM(0)</f>
        <v>0</v>
      </c>
      <c r="U65" s="5"/>
      <c r="V65" s="13">
        <f>IF(T$12=0,0,T65/T$12)</f>
        <v>0</v>
      </c>
      <c r="W65" s="5"/>
      <c r="X65" s="5">
        <f>+P65-T65</f>
        <v>0</v>
      </c>
      <c r="Y65" s="5"/>
      <c r="Z65" s="13">
        <f>IF(T65=0,0,X65/T65)</f>
        <v>0</v>
      </c>
    </row>
    <row r="66" spans="1:26" ht="15" customHeight="1" x14ac:dyDescent="0.3">
      <c r="A66" s="10"/>
      <c r="B66" s="11"/>
      <c r="C66" s="11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O66" s="11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3" customFormat="1" ht="15" customHeight="1" x14ac:dyDescent="0.3">
      <c r="A67" s="11"/>
      <c r="B67" s="28" t="s">
        <v>292</v>
      </c>
      <c r="C67" s="28"/>
      <c r="D67" s="21">
        <f>+D16-D18+D65</f>
        <v>-38686.19</v>
      </c>
      <c r="E67" s="15"/>
      <c r="F67" s="22">
        <f>IF(D$12=0,0,D67/D$12)</f>
        <v>0</v>
      </c>
      <c r="G67" s="15"/>
      <c r="H67" s="21">
        <f>+H16-H18+H65</f>
        <v>-49108.428504307674</v>
      </c>
      <c r="I67" s="15"/>
      <c r="J67" s="22">
        <f>IF(H$12=0,0,H67/H$12)</f>
        <v>0</v>
      </c>
      <c r="K67" s="16"/>
      <c r="L67" s="21">
        <f>+D67-H67</f>
        <v>10422.238504307672</v>
      </c>
      <c r="M67" s="16"/>
      <c r="N67" s="22">
        <f>IF(H67=0,0,L67/H67)</f>
        <v>-0.21222911874269115</v>
      </c>
      <c r="O67" s="27"/>
      <c r="P67" s="21">
        <f>+P16-P18+P65</f>
        <v>-333022.03000000003</v>
      </c>
      <c r="Q67" s="15"/>
      <c r="R67" s="22">
        <f>IF(P$12=0,0,P67/P$12)</f>
        <v>0</v>
      </c>
      <c r="S67" s="15"/>
      <c r="T67" s="21">
        <f>+T16-T18+T65</f>
        <v>-338110.26557269163</v>
      </c>
      <c r="U67" s="15"/>
      <c r="V67" s="22">
        <f>IF(T$12=0,0,T67/T$12)</f>
        <v>0</v>
      </c>
      <c r="W67" s="16"/>
      <c r="X67" s="21">
        <f>+P67-T67</f>
        <v>5088.2355726915994</v>
      </c>
      <c r="Y67" s="16"/>
      <c r="Z67" s="22">
        <f>IF(T67=0,0,X67/T67)</f>
        <v>-1.5049041956987431E-2</v>
      </c>
    </row>
    <row r="68" spans="1:26" ht="15" customHeight="1" x14ac:dyDescent="0.3">
      <c r="A68" s="10"/>
      <c r="B68" s="11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3" customFormat="1" ht="15" customHeight="1" x14ac:dyDescent="0.3">
      <c r="A69" s="49"/>
      <c r="B69" s="11" t="s">
        <v>293</v>
      </c>
      <c r="C69" s="11"/>
      <c r="D69" s="5"/>
      <c r="E69" s="5"/>
      <c r="F69" s="13">
        <f>IF(D$12=0,0,D69/D$12)</f>
        <v>0</v>
      </c>
      <c r="G69" s="5"/>
      <c r="H69" s="5"/>
      <c r="I69" s="5"/>
      <c r="J69" s="13">
        <f>IF(H$12=0,0,H69/H$12)</f>
        <v>0</v>
      </c>
      <c r="K69" s="5"/>
      <c r="L69" s="5">
        <f>+D69-H69</f>
        <v>0</v>
      </c>
      <c r="M69" s="5"/>
      <c r="N69" s="13">
        <f>IF(H69=0,0,L69/H69)</f>
        <v>0</v>
      </c>
      <c r="O69" s="11"/>
      <c r="P69" s="5"/>
      <c r="Q69" s="5"/>
      <c r="R69" s="13">
        <f>IF(P$12=0,0,P69/P$12)</f>
        <v>0</v>
      </c>
      <c r="S69" s="5"/>
      <c r="T69" s="5"/>
      <c r="U69" s="5"/>
      <c r="V69" s="13">
        <f>IF(T$12=0,0,T69/T$12)</f>
        <v>0</v>
      </c>
      <c r="W69" s="5"/>
      <c r="X69" s="5">
        <f>+P69-T69</f>
        <v>0</v>
      </c>
      <c r="Y69" s="5"/>
      <c r="Z69" s="13">
        <f>IF(T69=0,0,X69/T69)</f>
        <v>0</v>
      </c>
    </row>
    <row r="70" spans="1:26" ht="15" customHeight="1" x14ac:dyDescent="0.3">
      <c r="A70" s="10"/>
      <c r="B70" s="11"/>
      <c r="C70" s="11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O70" s="11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3" customFormat="1" ht="15" customHeight="1" x14ac:dyDescent="0.3">
      <c r="A71" s="11"/>
      <c r="B71" s="28" t="s">
        <v>294</v>
      </c>
      <c r="C71" s="28"/>
      <c r="D71" s="33">
        <f>+D67-D69</f>
        <v>-38686.19</v>
      </c>
      <c r="E71" s="15"/>
      <c r="F71" s="32">
        <f>IF(D$12=0,0,D71/D$12)</f>
        <v>0</v>
      </c>
      <c r="G71" s="15"/>
      <c r="H71" s="33">
        <f>+H67-H69</f>
        <v>-49108.428504307674</v>
      </c>
      <c r="I71" s="15"/>
      <c r="J71" s="32">
        <f>IF(H$12=0,0,H71/H$12)</f>
        <v>0</v>
      </c>
      <c r="K71" s="16"/>
      <c r="L71" s="33">
        <f>D71-H71</f>
        <v>10422.238504307672</v>
      </c>
      <c r="M71" s="16"/>
      <c r="N71" s="32">
        <f>IF(H71=0,0,L71/H71)</f>
        <v>-0.21222911874269115</v>
      </c>
      <c r="O71" s="27"/>
      <c r="P71" s="33">
        <f>+P67-P69</f>
        <v>-333022.03000000003</v>
      </c>
      <c r="Q71" s="15"/>
      <c r="R71" s="32">
        <f>IF(P$12=0,0,P71/P$12)</f>
        <v>0</v>
      </c>
      <c r="S71" s="15"/>
      <c r="T71" s="33">
        <f>+T67-T69</f>
        <v>-338110.26557269163</v>
      </c>
      <c r="U71" s="15"/>
      <c r="V71" s="32">
        <f>IF(T$12=0,0,T71/T$12)</f>
        <v>0</v>
      </c>
      <c r="W71" s="16"/>
      <c r="X71" s="33">
        <f>P71-T71</f>
        <v>5088.2355726915994</v>
      </c>
      <c r="Y71" s="16"/>
      <c r="Z71" s="32">
        <f>IF(T71=0,0,X71/T71)</f>
        <v>-1.5049041956987431E-2</v>
      </c>
    </row>
    <row r="72" spans="1:26" ht="15" customHeight="1" x14ac:dyDescent="0.3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3" customFormat="1" ht="15" customHeight="1" x14ac:dyDescent="0.3">
      <c r="A74" s="11"/>
      <c r="B74" s="28" t="s">
        <v>297</v>
      </c>
      <c r="C74" s="28"/>
      <c r="D74" s="34">
        <f>SUM(D71:D73)</f>
        <v>-38686.19</v>
      </c>
      <c r="E74" s="15"/>
      <c r="F74" s="30">
        <f>IF(D$12=0,0,D74/D$12)</f>
        <v>0</v>
      </c>
      <c r="G74" s="15"/>
      <c r="H74" s="34">
        <f>SUM(H71:H73)</f>
        <v>-49108.428504307674</v>
      </c>
      <c r="I74" s="15"/>
      <c r="J74" s="30">
        <f>IF(H$12=0,0,H74/H$12)</f>
        <v>0</v>
      </c>
      <c r="K74" s="16"/>
      <c r="L74" s="34">
        <f>+D74-H74</f>
        <v>10422.238504307672</v>
      </c>
      <c r="M74" s="16"/>
      <c r="N74" s="30">
        <f>IF(H74=0,0,L74/H74)</f>
        <v>-0.21222911874269115</v>
      </c>
      <c r="O74" s="27"/>
      <c r="P74" s="34">
        <f>SUM(P71:P73)</f>
        <v>-333022.03000000003</v>
      </c>
      <c r="Q74" s="15"/>
      <c r="R74" s="30">
        <f>IF(P$12=0,0,P74/P$12)</f>
        <v>0</v>
      </c>
      <c r="S74" s="15"/>
      <c r="T74" s="34">
        <f>SUM(T71:T73)</f>
        <v>-338110.26557269163</v>
      </c>
      <c r="U74" s="15"/>
      <c r="V74" s="30">
        <f>IF(T$12=0,0,T74/T$12)</f>
        <v>0</v>
      </c>
      <c r="W74" s="16"/>
      <c r="X74" s="34">
        <f>+P74-T74</f>
        <v>5088.2355726915994</v>
      </c>
      <c r="Y74" s="16"/>
      <c r="Z74" s="30">
        <f>IF(T74=0,0,X74/T74)</f>
        <v>-1.5049041956987431E-2</v>
      </c>
    </row>
    <row r="75" spans="1:26" ht="15" customHeight="1" x14ac:dyDescent="0.3">
      <c r="A75" s="10"/>
      <c r="C75" s="10"/>
      <c r="D75" s="19"/>
      <c r="E75" s="19"/>
      <c r="G75" s="19"/>
      <c r="H75" s="19"/>
      <c r="I75" s="19"/>
      <c r="J75" s="41"/>
      <c r="K75" s="19"/>
      <c r="L75" s="19"/>
      <c r="M75" s="19"/>
      <c r="P75" s="19"/>
      <c r="Q75" s="19"/>
      <c r="R75" s="41"/>
      <c r="S75" s="19"/>
      <c r="T75" s="19"/>
      <c r="U75" s="19"/>
      <c r="V75" s="41"/>
      <c r="W75" s="19"/>
      <c r="X75" s="19"/>
    </row>
    <row r="76" spans="1:26" ht="15" customHeight="1" x14ac:dyDescent="0.3">
      <c r="A76" s="10"/>
      <c r="B76" s="57">
        <v>44634.883430555557</v>
      </c>
      <c r="D76" s="19"/>
      <c r="E76" s="19"/>
      <c r="G76" s="19"/>
      <c r="H76" s="19"/>
      <c r="I76" s="19"/>
      <c r="J76" s="41"/>
      <c r="K76" s="19"/>
      <c r="L76" s="19"/>
      <c r="M76" s="19"/>
      <c r="P76" s="19"/>
      <c r="Q76" s="19"/>
      <c r="R76" s="41"/>
      <c r="S76" s="19"/>
      <c r="T76" s="19"/>
      <c r="U76" s="19"/>
      <c r="V76" s="41"/>
      <c r="W76" s="19"/>
      <c r="X76" s="19"/>
    </row>
    <row r="77" spans="1:26" ht="15" customHeight="1" x14ac:dyDescent="0.3">
      <c r="A77" s="10"/>
      <c r="B77" s="56" t="s">
        <v>298</v>
      </c>
      <c r="D77" s="19"/>
      <c r="E77" s="19"/>
      <c r="G77" s="19"/>
      <c r="H77" s="19"/>
      <c r="I77" s="19"/>
      <c r="J77" s="41"/>
      <c r="K77" s="19"/>
      <c r="L77" s="19"/>
      <c r="M77" s="19"/>
      <c r="P77" s="19"/>
      <c r="Q77" s="19"/>
      <c r="R77" s="41"/>
      <c r="S77" s="19"/>
      <c r="T77" s="19"/>
      <c r="U77" s="19"/>
      <c r="V77" s="41"/>
      <c r="W77" s="19"/>
      <c r="X77" s="19"/>
    </row>
    <row r="78" spans="1:26" ht="15" customHeight="1" x14ac:dyDescent="0.3">
      <c r="A78" s="10"/>
      <c r="B78" s="54"/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  <row r="79" spans="1:26" ht="15" customHeight="1" x14ac:dyDescent="0.3">
      <c r="D79" s="19"/>
      <c r="E79" s="19"/>
      <c r="G79" s="19"/>
      <c r="H79" s="19"/>
      <c r="I79" s="19"/>
      <c r="J79" s="41"/>
      <c r="K79" s="19"/>
      <c r="L79" s="19"/>
      <c r="M79" s="19"/>
      <c r="P79" s="19"/>
      <c r="Q79" s="19"/>
      <c r="R79" s="41"/>
      <c r="S79" s="19"/>
      <c r="T79" s="19"/>
      <c r="U79" s="19"/>
      <c r="V79" s="41"/>
      <c r="W79" s="19"/>
      <c r="X79" s="19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7DCDB-A21C-F258-302D-CEB8D4D75D19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","203"," - ","Human Resources")</f>
        <v>Department 203 - Human Resources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63102.47</v>
      </c>
      <c r="E18" s="23"/>
      <c r="F18" s="29">
        <f t="shared" ref="F18:F49" si="0">IF(D$12=0,0,D18/D$12)</f>
        <v>0</v>
      </c>
      <c r="G18" s="23"/>
      <c r="H18" s="23" cm="1">
        <f t="array" ref="H18">SUM(OSRRefH22x_0)</f>
        <v>46434.26516968615</v>
      </c>
      <c r="I18" s="23"/>
      <c r="J18" s="29">
        <f t="shared" ref="J18:J49" si="1">IF(H$12=0,0,H18/H$12)</f>
        <v>0</v>
      </c>
      <c r="K18" s="5"/>
      <c r="L18" s="23">
        <f t="shared" ref="L18:L49" si="2">+D18-H18</f>
        <v>16668.204830313851</v>
      </c>
      <c r="M18" s="5"/>
      <c r="N18" s="29">
        <f t="shared" ref="N18:N49" si="3">IF(H18=0,0,L18/H18)</f>
        <v>0.3589634673748518</v>
      </c>
      <c r="O18" s="11"/>
      <c r="P18" s="23" cm="1">
        <f t="array" ref="P18">SUM(OSRRefP22x_0)</f>
        <v>448414.18999999994</v>
      </c>
      <c r="Q18" s="23"/>
      <c r="R18" s="29">
        <f t="shared" ref="R18:R49" si="4">IF(P$12=0,0,P18/P$12)</f>
        <v>0</v>
      </c>
      <c r="S18" s="23"/>
      <c r="T18" s="23" cm="1">
        <f t="array" ref="T18">SUM(OSRRefT22x_0)</f>
        <v>396534.82023475383</v>
      </c>
      <c r="U18" s="23"/>
      <c r="V18" s="29">
        <f t="shared" ref="V18:V49" si="5">IF(T$12=0,0,T18/T$12)</f>
        <v>0</v>
      </c>
      <c r="W18" s="5"/>
      <c r="X18" s="23">
        <f t="shared" ref="X18:X49" si="6">+P18-T18</f>
        <v>51879.369765246112</v>
      </c>
      <c r="Y18" s="5"/>
      <c r="Z18" s="29">
        <f t="shared" ref="Z18:Z49" si="7">IF(T18=0,0,X18/T18)</f>
        <v>0.13083181379767064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12629.050000000001</v>
      </c>
      <c r="E19" s="2"/>
      <c r="F19" s="6">
        <f t="shared" si="0"/>
        <v>0</v>
      </c>
      <c r="G19" s="2"/>
      <c r="H19" s="2">
        <f>SUM(OSRRefH22_0x_0)</f>
        <v>11218.47940968615</v>
      </c>
      <c r="I19" s="2"/>
      <c r="J19" s="6">
        <f t="shared" si="1"/>
        <v>0</v>
      </c>
      <c r="K19" s="2"/>
      <c r="L19" s="2">
        <f t="shared" si="2"/>
        <v>1410.5705903138514</v>
      </c>
      <c r="M19" s="2"/>
      <c r="N19" s="6">
        <f t="shared" si="3"/>
        <v>0.12573634436552519</v>
      </c>
      <c r="O19" s="14"/>
      <c r="P19" s="2">
        <f>SUM(OSRRefP22_0x_0)</f>
        <v>121621.58</v>
      </c>
      <c r="Q19" s="2"/>
      <c r="R19" s="6">
        <f t="shared" si="4"/>
        <v>0</v>
      </c>
      <c r="S19" s="2"/>
      <c r="T19" s="2">
        <f>SUM(OSRRefT22_0x_0)</f>
        <v>95841.194834753798</v>
      </c>
      <c r="U19" s="2"/>
      <c r="V19" s="6">
        <f t="shared" si="5"/>
        <v>0</v>
      </c>
      <c r="W19" s="2"/>
      <c r="X19" s="2">
        <f t="shared" si="6"/>
        <v>25780.385165246204</v>
      </c>
      <c r="Y19" s="2"/>
      <c r="Z19" s="6">
        <f t="shared" si="7"/>
        <v>0.26899064864222411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2298.42</v>
      </c>
      <c r="E20" s="3"/>
      <c r="F20" s="7">
        <f t="shared" si="0"/>
        <v>0</v>
      </c>
      <c r="G20" s="3"/>
      <c r="H20" s="8">
        <v>1560.2483342400001</v>
      </c>
      <c r="I20" s="3"/>
      <c r="J20" s="7">
        <f t="shared" si="1"/>
        <v>0</v>
      </c>
      <c r="K20" s="3"/>
      <c r="L20" s="8">
        <f t="shared" si="2"/>
        <v>738.17166576</v>
      </c>
      <c r="M20" s="3"/>
      <c r="N20" s="7">
        <f t="shared" si="3"/>
        <v>0.47311165124208565</v>
      </c>
      <c r="O20" s="12"/>
      <c r="P20" s="8">
        <v>18666.150000000001</v>
      </c>
      <c r="Q20" s="3"/>
      <c r="R20" s="7">
        <f t="shared" si="4"/>
        <v>0</v>
      </c>
      <c r="S20" s="3"/>
      <c r="T20" s="8">
        <v>13652.1729246</v>
      </c>
      <c r="U20" s="3"/>
      <c r="V20" s="7">
        <f t="shared" si="5"/>
        <v>0</v>
      </c>
      <c r="W20" s="3"/>
      <c r="X20" s="8">
        <f t="shared" si="6"/>
        <v>5013.9770754000019</v>
      </c>
      <c r="Y20" s="3"/>
      <c r="Z20" s="7">
        <f t="shared" si="7"/>
        <v>0.36726586332387146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384.16</v>
      </c>
      <c r="E21" s="3"/>
      <c r="F21" s="7">
        <f t="shared" si="0"/>
        <v>0</v>
      </c>
      <c r="G21" s="3"/>
      <c r="H21" s="8">
        <v>81.800964800000003</v>
      </c>
      <c r="I21" s="3"/>
      <c r="J21" s="7">
        <f t="shared" si="1"/>
        <v>0</v>
      </c>
      <c r="K21" s="3"/>
      <c r="L21" s="8">
        <f t="shared" si="2"/>
        <v>302.35903519999999</v>
      </c>
      <c r="M21" s="3"/>
      <c r="N21" s="7">
        <f t="shared" si="3"/>
        <v>3.6962771275284516</v>
      </c>
      <c r="O21" s="12"/>
      <c r="P21" s="8">
        <v>3124.56</v>
      </c>
      <c r="Q21" s="3"/>
      <c r="R21" s="7">
        <f t="shared" si="4"/>
        <v>0</v>
      </c>
      <c r="S21" s="3"/>
      <c r="T21" s="8">
        <v>715.75844199999995</v>
      </c>
      <c r="U21" s="3"/>
      <c r="V21" s="7">
        <f t="shared" si="5"/>
        <v>0</v>
      </c>
      <c r="W21" s="3"/>
      <c r="X21" s="8">
        <f t="shared" si="6"/>
        <v>2408.8015580000001</v>
      </c>
      <c r="Y21" s="3"/>
      <c r="Z21" s="7">
        <f t="shared" si="7"/>
        <v>3.3653833704975011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5574.36</v>
      </c>
      <c r="E22" s="3"/>
      <c r="F22" s="7">
        <f t="shared" si="0"/>
        <v>0</v>
      </c>
      <c r="G22" s="3"/>
      <c r="H22" s="8">
        <v>6238.8461538461497</v>
      </c>
      <c r="I22" s="3"/>
      <c r="J22" s="7">
        <f t="shared" si="1"/>
        <v>0</v>
      </c>
      <c r="K22" s="3"/>
      <c r="L22" s="8">
        <f t="shared" si="2"/>
        <v>-664.48615384615005</v>
      </c>
      <c r="M22" s="3"/>
      <c r="N22" s="7">
        <f t="shared" si="3"/>
        <v>-0.106507860181246</v>
      </c>
      <c r="O22" s="12"/>
      <c r="P22" s="8">
        <v>47476.11</v>
      </c>
      <c r="Q22" s="3"/>
      <c r="R22" s="7">
        <f t="shared" si="4"/>
        <v>0</v>
      </c>
      <c r="S22" s="3"/>
      <c r="T22" s="8">
        <v>53107.1538461538</v>
      </c>
      <c r="U22" s="3"/>
      <c r="V22" s="7">
        <f t="shared" si="5"/>
        <v>0</v>
      </c>
      <c r="W22" s="3"/>
      <c r="X22" s="8">
        <f t="shared" si="6"/>
        <v>-5631.0438461537997</v>
      </c>
      <c r="Y22" s="3"/>
      <c r="Z22" s="7">
        <f t="shared" si="7"/>
        <v>-0.10603173844462424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77.430000000000007</v>
      </c>
      <c r="E23" s="3"/>
      <c r="F23" s="7">
        <f t="shared" si="0"/>
        <v>0</v>
      </c>
      <c r="G23" s="3"/>
      <c r="H23" s="8">
        <v>55.413556800000002</v>
      </c>
      <c r="I23" s="3"/>
      <c r="J23" s="7">
        <f t="shared" si="1"/>
        <v>0</v>
      </c>
      <c r="K23" s="3"/>
      <c r="L23" s="8">
        <f t="shared" si="2"/>
        <v>22.016443200000005</v>
      </c>
      <c r="M23" s="3"/>
      <c r="N23" s="7">
        <f t="shared" si="3"/>
        <v>0.39731149688626383</v>
      </c>
      <c r="O23" s="12"/>
      <c r="P23" s="8">
        <v>629.76</v>
      </c>
      <c r="Q23" s="3"/>
      <c r="R23" s="7">
        <f t="shared" si="4"/>
        <v>0</v>
      </c>
      <c r="S23" s="3"/>
      <c r="T23" s="8">
        <v>484.86862200000002</v>
      </c>
      <c r="U23" s="3"/>
      <c r="V23" s="7">
        <f t="shared" si="5"/>
        <v>0</v>
      </c>
      <c r="W23" s="3"/>
      <c r="X23" s="8">
        <f t="shared" si="6"/>
        <v>144.89137799999997</v>
      </c>
      <c r="Y23" s="3"/>
      <c r="Z23" s="7">
        <f t="shared" si="7"/>
        <v>0.29882605601976853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1287.54</v>
      </c>
      <c r="E24" s="3"/>
      <c r="F24" s="7">
        <f t="shared" si="0"/>
        <v>0</v>
      </c>
      <c r="G24" s="3"/>
      <c r="H24" s="8">
        <v>885.8</v>
      </c>
      <c r="I24" s="3"/>
      <c r="J24" s="7">
        <f t="shared" si="1"/>
        <v>0</v>
      </c>
      <c r="K24" s="3"/>
      <c r="L24" s="8">
        <f t="shared" si="2"/>
        <v>401.74</v>
      </c>
      <c r="M24" s="3"/>
      <c r="N24" s="7">
        <f t="shared" si="3"/>
        <v>0.45353352901332133</v>
      </c>
      <c r="O24" s="12"/>
      <c r="P24" s="8">
        <v>10721.25</v>
      </c>
      <c r="Q24" s="3"/>
      <c r="R24" s="7">
        <f t="shared" si="4"/>
        <v>0</v>
      </c>
      <c r="S24" s="3"/>
      <c r="T24" s="8">
        <v>7750.75</v>
      </c>
      <c r="U24" s="3"/>
      <c r="V24" s="7">
        <f t="shared" si="5"/>
        <v>0</v>
      </c>
      <c r="W24" s="3"/>
      <c r="X24" s="8">
        <f t="shared" si="6"/>
        <v>2970.5</v>
      </c>
      <c r="Y24" s="3"/>
      <c r="Z24" s="7">
        <f t="shared" si="7"/>
        <v>0.38325323355804275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417</v>
      </c>
      <c r="I25" s="3"/>
      <c r="J25" s="7">
        <f t="shared" si="1"/>
        <v>0</v>
      </c>
      <c r="K25" s="3"/>
      <c r="L25" s="8">
        <f t="shared" si="2"/>
        <v>-417</v>
      </c>
      <c r="M25" s="3"/>
      <c r="N25" s="7">
        <f t="shared" si="3"/>
        <v>-1</v>
      </c>
      <c r="O25" s="12"/>
      <c r="P25" s="8">
        <v>2636</v>
      </c>
      <c r="Q25" s="3"/>
      <c r="R25" s="7">
        <f t="shared" si="4"/>
        <v>0</v>
      </c>
      <c r="S25" s="3"/>
      <c r="T25" s="8">
        <v>3336</v>
      </c>
      <c r="U25" s="3"/>
      <c r="V25" s="7">
        <f t="shared" si="5"/>
        <v>0</v>
      </c>
      <c r="W25" s="3"/>
      <c r="X25" s="8">
        <f t="shared" si="6"/>
        <v>-700</v>
      </c>
      <c r="Y25" s="3"/>
      <c r="Z25" s="7">
        <f t="shared" si="7"/>
        <v>-0.20983213429256595</v>
      </c>
    </row>
    <row r="26" spans="1:26" s="70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8">
        <v>680.31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680.31</v>
      </c>
      <c r="M26" s="3"/>
      <c r="N26" s="7">
        <f t="shared" si="3"/>
        <v>0</v>
      </c>
      <c r="O26" s="12"/>
      <c r="P26" s="8">
        <v>8642.59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8642.59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8">
        <v>781.36</v>
      </c>
      <c r="E27" s="3"/>
      <c r="F27" s="7">
        <f t="shared" si="0"/>
        <v>0</v>
      </c>
      <c r="G27" s="3"/>
      <c r="H27" s="8">
        <v>731.62224000000003</v>
      </c>
      <c r="I27" s="3"/>
      <c r="J27" s="7">
        <f t="shared" si="1"/>
        <v>0</v>
      </c>
      <c r="K27" s="3"/>
      <c r="L27" s="8">
        <f t="shared" si="2"/>
        <v>49.73775999999998</v>
      </c>
      <c r="M27" s="3"/>
      <c r="N27" s="7">
        <f t="shared" si="3"/>
        <v>6.798284316780745E-2</v>
      </c>
      <c r="O27" s="12"/>
      <c r="P27" s="8">
        <v>15633.86</v>
      </c>
      <c r="Q27" s="3"/>
      <c r="R27" s="7">
        <f t="shared" si="4"/>
        <v>0</v>
      </c>
      <c r="S27" s="3"/>
      <c r="T27" s="8">
        <v>6401.6945999999998</v>
      </c>
      <c r="U27" s="3"/>
      <c r="V27" s="7">
        <f t="shared" si="5"/>
        <v>0</v>
      </c>
      <c r="W27" s="3"/>
      <c r="X27" s="8">
        <f t="shared" si="6"/>
        <v>9232.1654000000017</v>
      </c>
      <c r="Y27" s="3"/>
      <c r="Z27" s="7">
        <f t="shared" si="7"/>
        <v>1.4421439910613671</v>
      </c>
    </row>
    <row r="28" spans="1:26" s="70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8">
        <v>1239.8599999999999</v>
      </c>
      <c r="E28" s="3"/>
      <c r="F28" s="7">
        <f t="shared" si="0"/>
        <v>0</v>
      </c>
      <c r="G28" s="3"/>
      <c r="H28" s="8">
        <v>547.74815999999998</v>
      </c>
      <c r="I28" s="3"/>
      <c r="J28" s="7">
        <f t="shared" si="1"/>
        <v>0</v>
      </c>
      <c r="K28" s="3"/>
      <c r="L28" s="8">
        <f t="shared" si="2"/>
        <v>692.11183999999992</v>
      </c>
      <c r="M28" s="3"/>
      <c r="N28" s="7">
        <f t="shared" si="3"/>
        <v>1.2635584937428177</v>
      </c>
      <c r="O28" s="12"/>
      <c r="P28" s="8">
        <v>12343.14</v>
      </c>
      <c r="Q28" s="3"/>
      <c r="R28" s="7">
        <f t="shared" si="4"/>
        <v>0</v>
      </c>
      <c r="S28" s="3"/>
      <c r="T28" s="8">
        <v>4792.7964000000002</v>
      </c>
      <c r="U28" s="3"/>
      <c r="V28" s="7">
        <f t="shared" si="5"/>
        <v>0</v>
      </c>
      <c r="W28" s="3"/>
      <c r="X28" s="8">
        <f t="shared" si="6"/>
        <v>7550.3435999999992</v>
      </c>
      <c r="Y28" s="3"/>
      <c r="Z28" s="7">
        <f t="shared" si="7"/>
        <v>1.5753524602046518</v>
      </c>
    </row>
    <row r="29" spans="1:26" s="70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8">
        <v>305.61</v>
      </c>
      <c r="E29" s="3"/>
      <c r="F29" s="7">
        <f t="shared" si="0"/>
        <v>0</v>
      </c>
      <c r="G29" s="3"/>
      <c r="H29" s="8">
        <v>700</v>
      </c>
      <c r="I29" s="3"/>
      <c r="J29" s="7">
        <f t="shared" si="1"/>
        <v>0</v>
      </c>
      <c r="K29" s="3"/>
      <c r="L29" s="8">
        <f t="shared" si="2"/>
        <v>-394.39</v>
      </c>
      <c r="M29" s="3"/>
      <c r="N29" s="7">
        <f t="shared" si="3"/>
        <v>-0.56341428571428565</v>
      </c>
      <c r="O29" s="12"/>
      <c r="P29" s="8">
        <v>1748.16</v>
      </c>
      <c r="Q29" s="3"/>
      <c r="R29" s="7">
        <f t="shared" si="4"/>
        <v>0</v>
      </c>
      <c r="S29" s="3"/>
      <c r="T29" s="8">
        <v>5600</v>
      </c>
      <c r="U29" s="3"/>
      <c r="V29" s="7">
        <f t="shared" si="5"/>
        <v>0</v>
      </c>
      <c r="W29" s="3"/>
      <c r="X29" s="8">
        <f t="shared" si="6"/>
        <v>-3851.84</v>
      </c>
      <c r="Y29" s="3"/>
      <c r="Z29" s="7">
        <f t="shared" si="7"/>
        <v>-0.68782857142857146</v>
      </c>
    </row>
    <row r="30" spans="1:26" s="69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29160.65</v>
      </c>
      <c r="E30" s="2"/>
      <c r="F30" s="6">
        <f t="shared" si="0"/>
        <v>0</v>
      </c>
      <c r="G30" s="2"/>
      <c r="H30" s="2">
        <f>SUM(OSRRefH22_1x_0)</f>
        <v>23449.785759999999</v>
      </c>
      <c r="I30" s="2"/>
      <c r="J30" s="6">
        <f t="shared" si="1"/>
        <v>0</v>
      </c>
      <c r="K30" s="2"/>
      <c r="L30" s="2">
        <f t="shared" si="2"/>
        <v>5710.8642400000026</v>
      </c>
      <c r="M30" s="2"/>
      <c r="N30" s="6">
        <f t="shared" si="3"/>
        <v>0.2435358812420981</v>
      </c>
      <c r="O30" s="14"/>
      <c r="P30" s="2">
        <f>SUM(OSRRefP22_1x_0)</f>
        <v>236025.78999999998</v>
      </c>
      <c r="Q30" s="2"/>
      <c r="R30" s="6">
        <f t="shared" si="4"/>
        <v>0</v>
      </c>
      <c r="S30" s="2"/>
      <c r="T30" s="2">
        <f>SUM(OSRRefT22_1x_0)</f>
        <v>205185.62540000002</v>
      </c>
      <c r="U30" s="2"/>
      <c r="V30" s="6">
        <f t="shared" si="5"/>
        <v>0</v>
      </c>
      <c r="W30" s="2"/>
      <c r="X30" s="2">
        <f t="shared" si="6"/>
        <v>30840.16459999996</v>
      </c>
      <c r="Y30" s="2"/>
      <c r="Z30" s="6">
        <f t="shared" si="7"/>
        <v>0.15030372883031384</v>
      </c>
    </row>
    <row r="31" spans="1:26" s="70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8">
        <v>11834.04</v>
      </c>
      <c r="E31" s="3"/>
      <c r="F31" s="7">
        <f t="shared" si="0"/>
        <v>0</v>
      </c>
      <c r="G31" s="3"/>
      <c r="H31" s="8">
        <v>9785</v>
      </c>
      <c r="I31" s="3"/>
      <c r="J31" s="7">
        <f t="shared" si="1"/>
        <v>0</v>
      </c>
      <c r="K31" s="3"/>
      <c r="L31" s="8">
        <f t="shared" si="2"/>
        <v>2049.0400000000009</v>
      </c>
      <c r="M31" s="3"/>
      <c r="N31" s="7">
        <f t="shared" si="3"/>
        <v>0.20940623403168124</v>
      </c>
      <c r="O31" s="12"/>
      <c r="P31" s="8">
        <v>93352.84</v>
      </c>
      <c r="Q31" s="3"/>
      <c r="R31" s="7">
        <f t="shared" si="4"/>
        <v>0</v>
      </c>
      <c r="S31" s="3"/>
      <c r="T31" s="8">
        <v>85618.75</v>
      </c>
      <c r="U31" s="3"/>
      <c r="V31" s="7">
        <f t="shared" si="5"/>
        <v>0</v>
      </c>
      <c r="W31" s="3"/>
      <c r="X31" s="8">
        <f t="shared" si="6"/>
        <v>7734.0899999999965</v>
      </c>
      <c r="Y31" s="3"/>
      <c r="Z31" s="7">
        <f t="shared" si="7"/>
        <v>9.0331732243229393E-2</v>
      </c>
    </row>
    <row r="32" spans="1:26" s="70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18.5</v>
      </c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18.5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","6003"," - ","STAFF HOURLY-9 MONTH")</f>
        <v xml:space="preserve">          6003 - STAFF HOURLY-9 MONTH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8">
        <v>19234.330000000002</v>
      </c>
      <c r="E34" s="3"/>
      <c r="F34" s="7">
        <f t="shared" si="0"/>
        <v>0</v>
      </c>
      <c r="G34" s="3"/>
      <c r="H34" s="8">
        <v>9784.7857600000007</v>
      </c>
      <c r="I34" s="3"/>
      <c r="J34" s="7">
        <f t="shared" si="1"/>
        <v>0</v>
      </c>
      <c r="K34" s="3"/>
      <c r="L34" s="8">
        <f t="shared" si="2"/>
        <v>9449.5442400000011</v>
      </c>
      <c r="M34" s="3"/>
      <c r="N34" s="7">
        <f t="shared" si="3"/>
        <v>0.96573849154976288</v>
      </c>
      <c r="O34" s="12"/>
      <c r="P34" s="8">
        <v>126039.76</v>
      </c>
      <c r="Q34" s="3"/>
      <c r="R34" s="7">
        <f t="shared" si="4"/>
        <v>0</v>
      </c>
      <c r="S34" s="3"/>
      <c r="T34" s="8">
        <v>85616.875400000004</v>
      </c>
      <c r="U34" s="3"/>
      <c r="V34" s="7">
        <f t="shared" si="5"/>
        <v>0</v>
      </c>
      <c r="W34" s="3"/>
      <c r="X34" s="8">
        <f t="shared" si="6"/>
        <v>40422.88459999999</v>
      </c>
      <c r="Y34" s="3"/>
      <c r="Z34" s="7">
        <f t="shared" si="7"/>
        <v>0.47213688202407805</v>
      </c>
    </row>
    <row r="35" spans="1:26" s="70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8">
        <v>2387.2800000000002</v>
      </c>
      <c r="E35" s="3"/>
      <c r="F35" s="7">
        <f t="shared" si="0"/>
        <v>0</v>
      </c>
      <c r="G35" s="3"/>
      <c r="H35" s="8">
        <v>3880</v>
      </c>
      <c r="I35" s="3"/>
      <c r="J35" s="7">
        <f t="shared" si="1"/>
        <v>0</v>
      </c>
      <c r="K35" s="3"/>
      <c r="L35" s="8">
        <f t="shared" si="2"/>
        <v>-1492.7199999999998</v>
      </c>
      <c r="M35" s="3"/>
      <c r="N35" s="7">
        <f t="shared" si="3"/>
        <v>-0.38472164948453602</v>
      </c>
      <c r="O35" s="12"/>
      <c r="P35" s="8">
        <v>16614.689999999999</v>
      </c>
      <c r="Q35" s="3"/>
      <c r="R35" s="7">
        <f t="shared" si="4"/>
        <v>0</v>
      </c>
      <c r="S35" s="3"/>
      <c r="T35" s="8">
        <v>33950</v>
      </c>
      <c r="U35" s="3"/>
      <c r="V35" s="7">
        <f t="shared" si="5"/>
        <v>0</v>
      </c>
      <c r="W35" s="3"/>
      <c r="X35" s="8">
        <f t="shared" si="6"/>
        <v>-17335.310000000001</v>
      </c>
      <c r="Y35" s="3"/>
      <c r="Z35" s="7">
        <f t="shared" si="7"/>
        <v>-0.51061296023564073</v>
      </c>
    </row>
    <row r="36" spans="1:26" s="70" customFormat="1" ht="15" hidden="1" customHeight="1" outlineLevel="2" x14ac:dyDescent="0.3">
      <c r="A36" s="26"/>
      <c r="B36" s="12" t="str">
        <f>CONCATENATE("          ","6006"," - ","TEMPORARY PART TIME")</f>
        <v xml:space="preserve">          6006 - TEMPORARY PART TIME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","6007"," - ","STUDENT HOURLY")</f>
        <v xml:space="preserve">          6007 - STUDENT HOURLY</v>
      </c>
      <c r="C37" s="12"/>
      <c r="D37" s="8">
        <v>-4295</v>
      </c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-4295</v>
      </c>
      <c r="M37" s="3"/>
      <c r="N37" s="7">
        <f t="shared" si="3"/>
        <v>0</v>
      </c>
      <c r="O37" s="12"/>
      <c r="P37" s="8">
        <v>0</v>
      </c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","6008"," - ","STUDENT HOURLY-FICA EXEMPT")</f>
        <v xml:space="preserve">          6008 - STUDENT HOURLY-FICA EXEMPT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","6009"," - ","TEMPORARY-SEASONAL")</f>
        <v xml:space="preserve">          6009 - TEMPORARY-SEASONAL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","6010"," - ","GRATUITY")</f>
        <v xml:space="preserve">          6010 - GRATUITY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0</v>
      </c>
      <c r="E41" s="2"/>
      <c r="F41" s="6">
        <f t="shared" si="0"/>
        <v>0</v>
      </c>
      <c r="G41" s="2"/>
      <c r="H41" s="2">
        <f>SUM(OSRRefH22_2x_0)</f>
        <v>150</v>
      </c>
      <c r="I41" s="2"/>
      <c r="J41" s="6">
        <f t="shared" si="1"/>
        <v>0</v>
      </c>
      <c r="K41" s="2"/>
      <c r="L41" s="2">
        <f t="shared" si="2"/>
        <v>-150</v>
      </c>
      <c r="M41" s="2"/>
      <c r="N41" s="6">
        <f t="shared" si="3"/>
        <v>-1</v>
      </c>
      <c r="O41" s="14"/>
      <c r="P41" s="2">
        <f>SUM(OSRRefP22_2x_0)</f>
        <v>343.26</v>
      </c>
      <c r="Q41" s="2"/>
      <c r="R41" s="6">
        <f t="shared" si="4"/>
        <v>0</v>
      </c>
      <c r="S41" s="2"/>
      <c r="T41" s="2">
        <f>SUM(OSRRefT22_2x_0)</f>
        <v>1200</v>
      </c>
      <c r="U41" s="2"/>
      <c r="V41" s="6">
        <f t="shared" si="5"/>
        <v>0</v>
      </c>
      <c r="W41" s="2"/>
      <c r="X41" s="2">
        <f t="shared" si="6"/>
        <v>-856.74</v>
      </c>
      <c r="Y41" s="2"/>
      <c r="Z41" s="6">
        <f t="shared" si="7"/>
        <v>-0.71394999999999997</v>
      </c>
    </row>
    <row r="42" spans="1:26" s="70" customFormat="1" ht="15" hidden="1" customHeight="1" outlineLevel="2" x14ac:dyDescent="0.3">
      <c r="A42" s="26"/>
      <c r="B42" s="12" t="str">
        <f>CONCATENATE("          ","6362"," - ","ADVERTISING EXPENSE")</f>
        <v xml:space="preserve">          6362 - ADVERTISING EXPENSE</v>
      </c>
      <c r="C42" s="12"/>
      <c r="D42" s="8"/>
      <c r="E42" s="3"/>
      <c r="F42" s="7">
        <f t="shared" si="0"/>
        <v>0</v>
      </c>
      <c r="G42" s="3"/>
      <c r="H42" s="8">
        <v>150</v>
      </c>
      <c r="I42" s="3"/>
      <c r="J42" s="7">
        <f t="shared" si="1"/>
        <v>0</v>
      </c>
      <c r="K42" s="3"/>
      <c r="L42" s="8">
        <f t="shared" si="2"/>
        <v>-150</v>
      </c>
      <c r="M42" s="3"/>
      <c r="N42" s="7">
        <f t="shared" si="3"/>
        <v>-1</v>
      </c>
      <c r="O42" s="12"/>
      <c r="P42" s="8">
        <v>343.26</v>
      </c>
      <c r="Q42" s="3"/>
      <c r="R42" s="7">
        <f t="shared" si="4"/>
        <v>0</v>
      </c>
      <c r="S42" s="3"/>
      <c r="T42" s="8">
        <v>1200</v>
      </c>
      <c r="U42" s="3"/>
      <c r="V42" s="7">
        <f t="shared" si="5"/>
        <v>0</v>
      </c>
      <c r="W42" s="3"/>
      <c r="X42" s="8">
        <f t="shared" si="6"/>
        <v>-856.74</v>
      </c>
      <c r="Y42" s="3"/>
      <c r="Z42" s="7">
        <f t="shared" si="7"/>
        <v>-0.71394999999999997</v>
      </c>
    </row>
    <row r="43" spans="1:26" s="69" customFormat="1" ht="15" customHeight="1" outlineLevel="1" collapsed="1" x14ac:dyDescent="0.3">
      <c r="A43" s="25"/>
      <c r="B43" s="14" t="str">
        <f>CONCATENATE("     ","Employees' Appreciation                           ")</f>
        <v xml:space="preserve">     Employees' Appreciation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250</v>
      </c>
      <c r="I43" s="2"/>
      <c r="J43" s="6">
        <f t="shared" si="1"/>
        <v>0</v>
      </c>
      <c r="K43" s="2"/>
      <c r="L43" s="2">
        <f t="shared" si="2"/>
        <v>-250</v>
      </c>
      <c r="M43" s="2"/>
      <c r="N43" s="6">
        <f t="shared" si="3"/>
        <v>-1</v>
      </c>
      <c r="O43" s="14"/>
      <c r="P43" s="2">
        <f>SUM(OSRRefP22_3x_0)</f>
        <v>0</v>
      </c>
      <c r="Q43" s="2"/>
      <c r="R43" s="6">
        <f t="shared" si="4"/>
        <v>0</v>
      </c>
      <c r="S43" s="2"/>
      <c r="T43" s="2">
        <f>SUM(OSRRefT22_3x_0)</f>
        <v>2000</v>
      </c>
      <c r="U43" s="2"/>
      <c r="V43" s="6">
        <f t="shared" si="5"/>
        <v>0</v>
      </c>
      <c r="W43" s="2"/>
      <c r="X43" s="2">
        <f t="shared" si="6"/>
        <v>-2000</v>
      </c>
      <c r="Y43" s="2"/>
      <c r="Z43" s="6">
        <f t="shared" si="7"/>
        <v>-1</v>
      </c>
    </row>
    <row r="44" spans="1:26" s="70" customFormat="1" ht="15" hidden="1" customHeight="1" outlineLevel="2" x14ac:dyDescent="0.3">
      <c r="A44" s="26"/>
      <c r="B44" s="12" t="str">
        <f>CONCATENATE("          ","6277"," - ","EMPLOYEE APPRECIATION")</f>
        <v xml:space="preserve">          6277 - EMPLOYEE APPRECIATION</v>
      </c>
      <c r="C44" s="12"/>
      <c r="D44" s="8"/>
      <c r="E44" s="3"/>
      <c r="F44" s="7">
        <f t="shared" si="0"/>
        <v>0</v>
      </c>
      <c r="G44" s="3"/>
      <c r="H44" s="8">
        <v>250</v>
      </c>
      <c r="I44" s="3"/>
      <c r="J44" s="7">
        <f t="shared" si="1"/>
        <v>0</v>
      </c>
      <c r="K44" s="3"/>
      <c r="L44" s="8">
        <f t="shared" si="2"/>
        <v>-250</v>
      </c>
      <c r="M44" s="3"/>
      <c r="N44" s="7">
        <f t="shared" si="3"/>
        <v>-1</v>
      </c>
      <c r="O44" s="12"/>
      <c r="P44" s="8"/>
      <c r="Q44" s="3"/>
      <c r="R44" s="7">
        <f t="shared" si="4"/>
        <v>0</v>
      </c>
      <c r="S44" s="3"/>
      <c r="T44" s="8">
        <v>2000</v>
      </c>
      <c r="U44" s="3"/>
      <c r="V44" s="7">
        <f t="shared" si="5"/>
        <v>0</v>
      </c>
      <c r="W44" s="3"/>
      <c r="X44" s="8">
        <f t="shared" si="6"/>
        <v>-2000</v>
      </c>
      <c r="Y44" s="3"/>
      <c r="Z44" s="7">
        <f t="shared" si="7"/>
        <v>-1</v>
      </c>
    </row>
    <row r="45" spans="1:26" s="69" customFormat="1" ht="15" customHeight="1" outlineLevel="1" collapsed="1" x14ac:dyDescent="0.3">
      <c r="A45" s="25"/>
      <c r="B45" s="14" t="str">
        <f>CONCATENATE("     ","Equipment Rental                                  ")</f>
        <v xml:space="preserve">     Equipment Rental       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75</v>
      </c>
      <c r="I45" s="2"/>
      <c r="J45" s="6">
        <f t="shared" si="1"/>
        <v>0</v>
      </c>
      <c r="K45" s="2"/>
      <c r="L45" s="2">
        <f t="shared" si="2"/>
        <v>-75</v>
      </c>
      <c r="M45" s="2"/>
      <c r="N45" s="6">
        <f t="shared" si="3"/>
        <v>-1</v>
      </c>
      <c r="O45" s="14"/>
      <c r="P45" s="2">
        <f>SUM(OSRRefP22_4x_0)</f>
        <v>0</v>
      </c>
      <c r="Q45" s="2"/>
      <c r="R45" s="6">
        <f t="shared" si="4"/>
        <v>0</v>
      </c>
      <c r="S45" s="2"/>
      <c r="T45" s="2">
        <f>SUM(OSRRefT22_4x_0)</f>
        <v>600</v>
      </c>
      <c r="U45" s="2"/>
      <c r="V45" s="6">
        <f t="shared" si="5"/>
        <v>0</v>
      </c>
      <c r="W45" s="2"/>
      <c r="X45" s="2">
        <f t="shared" si="6"/>
        <v>-600</v>
      </c>
      <c r="Y45" s="2"/>
      <c r="Z45" s="6">
        <f t="shared" si="7"/>
        <v>-1</v>
      </c>
    </row>
    <row r="46" spans="1:26" s="70" customFormat="1" ht="15" hidden="1" customHeight="1" outlineLevel="2" x14ac:dyDescent="0.3">
      <c r="A46" s="26"/>
      <c r="B46" s="12" t="str">
        <f>CONCATENATE("          ","6351"," - ","EQUIPMENT RENTAL")</f>
        <v xml:space="preserve">          6351 - EQUIPMENT RENTAL</v>
      </c>
      <c r="C46" s="12"/>
      <c r="D46" s="8"/>
      <c r="E46" s="3"/>
      <c r="F46" s="7">
        <f t="shared" si="0"/>
        <v>0</v>
      </c>
      <c r="G46" s="3"/>
      <c r="H46" s="8">
        <v>75</v>
      </c>
      <c r="I46" s="3"/>
      <c r="J46" s="7">
        <f t="shared" si="1"/>
        <v>0</v>
      </c>
      <c r="K46" s="3"/>
      <c r="L46" s="8">
        <f t="shared" si="2"/>
        <v>-75</v>
      </c>
      <c r="M46" s="3"/>
      <c r="N46" s="7">
        <f t="shared" si="3"/>
        <v>-1</v>
      </c>
      <c r="O46" s="12"/>
      <c r="P46" s="8"/>
      <c r="Q46" s="3"/>
      <c r="R46" s="7">
        <f t="shared" si="4"/>
        <v>0</v>
      </c>
      <c r="S46" s="3"/>
      <c r="T46" s="8">
        <v>600</v>
      </c>
      <c r="U46" s="3"/>
      <c r="V46" s="7">
        <f t="shared" si="5"/>
        <v>0</v>
      </c>
      <c r="W46" s="3"/>
      <c r="X46" s="8">
        <f t="shared" si="6"/>
        <v>-600</v>
      </c>
      <c r="Y46" s="3"/>
      <c r="Z46" s="7">
        <f t="shared" si="7"/>
        <v>-1</v>
      </c>
    </row>
    <row r="47" spans="1:26" s="69" customFormat="1" ht="15" customHeight="1" outlineLevel="1" collapsed="1" x14ac:dyDescent="0.3">
      <c r="A47" s="25"/>
      <c r="B47" s="14" t="str">
        <f>CONCATENATE("     ","Freight out/Postage                               ")</f>
        <v xml:space="preserve">     Freight out/Postage                               </v>
      </c>
      <c r="C47" s="14"/>
      <c r="D47" s="2">
        <f>SUM(OSRRefD22_5x_0)</f>
        <v>9.49</v>
      </c>
      <c r="E47" s="2"/>
      <c r="F47" s="6">
        <f t="shared" si="0"/>
        <v>0</v>
      </c>
      <c r="G47" s="2"/>
      <c r="H47" s="2">
        <f>SUM(OSRRefH22_5x_0)</f>
        <v>85</v>
      </c>
      <c r="I47" s="2"/>
      <c r="J47" s="6">
        <f t="shared" si="1"/>
        <v>0</v>
      </c>
      <c r="K47" s="2"/>
      <c r="L47" s="2">
        <f t="shared" si="2"/>
        <v>-75.510000000000005</v>
      </c>
      <c r="M47" s="2"/>
      <c r="N47" s="6">
        <f t="shared" si="3"/>
        <v>-0.88835294117647068</v>
      </c>
      <c r="O47" s="14"/>
      <c r="P47" s="2">
        <f>SUM(OSRRefP22_5x_0)</f>
        <v>207.29</v>
      </c>
      <c r="Q47" s="2"/>
      <c r="R47" s="6">
        <f t="shared" si="4"/>
        <v>0</v>
      </c>
      <c r="S47" s="2"/>
      <c r="T47" s="2">
        <f>SUM(OSRRefT22_5x_0)</f>
        <v>340</v>
      </c>
      <c r="U47" s="2"/>
      <c r="V47" s="6">
        <f t="shared" si="5"/>
        <v>0</v>
      </c>
      <c r="W47" s="2"/>
      <c r="X47" s="2">
        <f t="shared" si="6"/>
        <v>-132.71</v>
      </c>
      <c r="Y47" s="2"/>
      <c r="Z47" s="6">
        <f t="shared" si="7"/>
        <v>-0.39032352941176474</v>
      </c>
    </row>
    <row r="48" spans="1:26" s="70" customFormat="1" ht="15" hidden="1" customHeight="1" outlineLevel="2" x14ac:dyDescent="0.3">
      <c r="A48" s="26"/>
      <c r="B48" s="12" t="str">
        <f>CONCATENATE("          ","6307"," - ","POSTAGE")</f>
        <v xml:space="preserve">          6307 - POSTAGE</v>
      </c>
      <c r="C48" s="12"/>
      <c r="D48" s="8">
        <v>9.49</v>
      </c>
      <c r="E48" s="3"/>
      <c r="F48" s="7">
        <f t="shared" si="0"/>
        <v>0</v>
      </c>
      <c r="G48" s="3"/>
      <c r="H48" s="8">
        <v>85</v>
      </c>
      <c r="I48" s="3"/>
      <c r="J48" s="7">
        <f t="shared" si="1"/>
        <v>0</v>
      </c>
      <c r="K48" s="3"/>
      <c r="L48" s="8">
        <f t="shared" si="2"/>
        <v>-75.510000000000005</v>
      </c>
      <c r="M48" s="3"/>
      <c r="N48" s="7">
        <f t="shared" si="3"/>
        <v>-0.88835294117647068</v>
      </c>
      <c r="O48" s="12"/>
      <c r="P48" s="8">
        <v>207.29</v>
      </c>
      <c r="Q48" s="3"/>
      <c r="R48" s="7">
        <f t="shared" si="4"/>
        <v>0</v>
      </c>
      <c r="S48" s="3"/>
      <c r="T48" s="8">
        <v>340</v>
      </c>
      <c r="U48" s="3"/>
      <c r="V48" s="7">
        <f t="shared" si="5"/>
        <v>0</v>
      </c>
      <c r="W48" s="3"/>
      <c r="X48" s="8">
        <f t="shared" si="6"/>
        <v>-132.71</v>
      </c>
      <c r="Y48" s="3"/>
      <c r="Z48" s="7">
        <f t="shared" si="7"/>
        <v>-0.39032352941176474</v>
      </c>
    </row>
    <row r="49" spans="1:26" s="69" customFormat="1" ht="15" customHeight="1" outlineLevel="1" collapsed="1" x14ac:dyDescent="0.3">
      <c r="A49" s="25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55.5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55.5</v>
      </c>
      <c r="M49" s="2"/>
      <c r="N49" s="6">
        <f t="shared" si="3"/>
        <v>0</v>
      </c>
      <c r="O49" s="14"/>
      <c r="P49" s="2">
        <f>SUM(OSRRefP22_6x_0)</f>
        <v>2789.25</v>
      </c>
      <c r="Q49" s="2"/>
      <c r="R49" s="6">
        <f t="shared" si="4"/>
        <v>0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2789.25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","6279"," - ","GENERAL EXPENSE")</f>
        <v xml:space="preserve">          6279 - GENERAL EXPENSE</v>
      </c>
      <c r="C50" s="12"/>
      <c r="D50" s="8">
        <v>55.5</v>
      </c>
      <c r="E50" s="3"/>
      <c r="F50" s="7">
        <f t="shared" ref="F50:F73" si="8">IF(D$12=0,0,D50/D$12)</f>
        <v>0</v>
      </c>
      <c r="G50" s="3"/>
      <c r="H50" s="8"/>
      <c r="I50" s="3"/>
      <c r="J50" s="7">
        <f t="shared" ref="J50:J73" si="9">IF(H$12=0,0,H50/H$12)</f>
        <v>0</v>
      </c>
      <c r="K50" s="3"/>
      <c r="L50" s="8">
        <f t="shared" ref="L50:L73" si="10">+D50-H50</f>
        <v>55.5</v>
      </c>
      <c r="M50" s="3"/>
      <c r="N50" s="7">
        <f t="shared" ref="N50:N73" si="11">IF(H50=0,0,L50/H50)</f>
        <v>0</v>
      </c>
      <c r="O50" s="12"/>
      <c r="P50" s="8">
        <v>2789.25</v>
      </c>
      <c r="Q50" s="3"/>
      <c r="R50" s="7">
        <f t="shared" ref="R50:R73" si="12">IF(P$12=0,0,P50/P$12)</f>
        <v>0</v>
      </c>
      <c r="S50" s="3"/>
      <c r="T50" s="8"/>
      <c r="U50" s="3"/>
      <c r="V50" s="7">
        <f t="shared" ref="V50:V73" si="13">IF(T$12=0,0,T50/T$12)</f>
        <v>0</v>
      </c>
      <c r="W50" s="3"/>
      <c r="X50" s="8">
        <f t="shared" ref="X50:X73" si="14">+P50-T50</f>
        <v>2789.25</v>
      </c>
      <c r="Y50" s="3"/>
      <c r="Z50" s="7">
        <f t="shared" ref="Z50:Z73" si="15">IF(T50=0,0,X50/T50)</f>
        <v>0</v>
      </c>
    </row>
    <row r="51" spans="1:26" s="69" customFormat="1" ht="15" customHeight="1" outlineLevel="1" collapsed="1" x14ac:dyDescent="0.3">
      <c r="A51" s="25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88.99</v>
      </c>
      <c r="E51" s="2"/>
      <c r="F51" s="6">
        <f t="shared" si="8"/>
        <v>0</v>
      </c>
      <c r="G51" s="2"/>
      <c r="H51" s="2">
        <f>SUM(OSRRefH22_7x_0)</f>
        <v>90</v>
      </c>
      <c r="I51" s="2"/>
      <c r="J51" s="6">
        <f t="shared" si="9"/>
        <v>0</v>
      </c>
      <c r="K51" s="2"/>
      <c r="L51" s="2">
        <f t="shared" si="10"/>
        <v>-1.0100000000000051</v>
      </c>
      <c r="M51" s="2"/>
      <c r="N51" s="6">
        <f t="shared" si="11"/>
        <v>-1.1222222222222279E-2</v>
      </c>
      <c r="O51" s="14"/>
      <c r="P51" s="2">
        <f>SUM(OSRRefP22_7x_0)</f>
        <v>711.92</v>
      </c>
      <c r="Q51" s="2"/>
      <c r="R51" s="6">
        <f t="shared" si="12"/>
        <v>0</v>
      </c>
      <c r="S51" s="2"/>
      <c r="T51" s="2">
        <f>SUM(OSRRefT22_7x_0)</f>
        <v>720</v>
      </c>
      <c r="U51" s="2"/>
      <c r="V51" s="6">
        <f t="shared" si="13"/>
        <v>0</v>
      </c>
      <c r="W51" s="2"/>
      <c r="X51" s="2">
        <f t="shared" si="14"/>
        <v>-8.0800000000000409</v>
      </c>
      <c r="Y51" s="2"/>
      <c r="Z51" s="6">
        <f t="shared" si="15"/>
        <v>-1.1222222222222279E-2</v>
      </c>
    </row>
    <row r="52" spans="1:26" s="70" customFormat="1" ht="15" hidden="1" customHeight="1" outlineLevel="2" x14ac:dyDescent="0.3">
      <c r="A52" s="26"/>
      <c r="B52" s="12" t="str">
        <f>CONCATENATE("          ","6314"," - ","LIABILITY INSURANCE")</f>
        <v xml:space="preserve">          6314 - LIABILITY INSURANCE</v>
      </c>
      <c r="C52" s="12"/>
      <c r="D52" s="8">
        <v>88.99</v>
      </c>
      <c r="E52" s="3"/>
      <c r="F52" s="7">
        <f t="shared" si="8"/>
        <v>0</v>
      </c>
      <c r="G52" s="3"/>
      <c r="H52" s="8">
        <v>90</v>
      </c>
      <c r="I52" s="3"/>
      <c r="J52" s="7">
        <f t="shared" si="9"/>
        <v>0</v>
      </c>
      <c r="K52" s="3"/>
      <c r="L52" s="8">
        <f t="shared" si="10"/>
        <v>-1.0100000000000051</v>
      </c>
      <c r="M52" s="3"/>
      <c r="N52" s="7">
        <f t="shared" si="11"/>
        <v>-1.1222222222222279E-2</v>
      </c>
      <c r="O52" s="12"/>
      <c r="P52" s="8">
        <v>711.92</v>
      </c>
      <c r="Q52" s="3"/>
      <c r="R52" s="7">
        <f t="shared" si="12"/>
        <v>0</v>
      </c>
      <c r="S52" s="3"/>
      <c r="T52" s="8">
        <v>720</v>
      </c>
      <c r="U52" s="3"/>
      <c r="V52" s="7">
        <f t="shared" si="13"/>
        <v>0</v>
      </c>
      <c r="W52" s="3"/>
      <c r="X52" s="8">
        <f t="shared" si="14"/>
        <v>-8.0800000000000409</v>
      </c>
      <c r="Y52" s="3"/>
      <c r="Z52" s="7">
        <f t="shared" si="15"/>
        <v>-1.1222222222222279E-2</v>
      </c>
    </row>
    <row r="53" spans="1:26" s="69" customFormat="1" ht="15" customHeight="1" outlineLevel="1" collapsed="1" x14ac:dyDescent="0.3">
      <c r="A53" s="25"/>
      <c r="B53" s="14" t="str">
        <f>CONCATENATE("     ","Professional Services                             ")</f>
        <v xml:space="preserve">     Professional Services                             </v>
      </c>
      <c r="C53" s="14"/>
      <c r="D53" s="2">
        <f>SUM(OSRRefD22_8x_0)</f>
        <v>0</v>
      </c>
      <c r="E53" s="2"/>
      <c r="F53" s="6">
        <f t="shared" si="8"/>
        <v>0</v>
      </c>
      <c r="G53" s="2"/>
      <c r="H53" s="2">
        <f>SUM(OSRRefH22_8x_0)</f>
        <v>1666</v>
      </c>
      <c r="I53" s="2"/>
      <c r="J53" s="6">
        <f t="shared" si="9"/>
        <v>0</v>
      </c>
      <c r="K53" s="2"/>
      <c r="L53" s="2">
        <f t="shared" si="10"/>
        <v>-1666</v>
      </c>
      <c r="M53" s="2"/>
      <c r="N53" s="6">
        <f t="shared" si="11"/>
        <v>-1</v>
      </c>
      <c r="O53" s="14"/>
      <c r="P53" s="2">
        <f>SUM(OSRRefP22_8x_0)</f>
        <v>10558.68</v>
      </c>
      <c r="Q53" s="2"/>
      <c r="R53" s="6">
        <f t="shared" si="12"/>
        <v>0</v>
      </c>
      <c r="S53" s="2"/>
      <c r="T53" s="2">
        <f>SUM(OSRRefT22_8x_0)</f>
        <v>13328</v>
      </c>
      <c r="U53" s="2"/>
      <c r="V53" s="6">
        <f t="shared" si="13"/>
        <v>0</v>
      </c>
      <c r="W53" s="2"/>
      <c r="X53" s="2">
        <f t="shared" si="14"/>
        <v>-2769.3199999999997</v>
      </c>
      <c r="Y53" s="2"/>
      <c r="Z53" s="6">
        <f t="shared" si="15"/>
        <v>-0.20778211284513803</v>
      </c>
    </row>
    <row r="54" spans="1:26" s="70" customFormat="1" ht="15" hidden="1" customHeight="1" outlineLevel="2" x14ac:dyDescent="0.3">
      <c r="A54" s="26"/>
      <c r="B54" s="12" t="str">
        <f>CONCATENATE("          ","6332"," - ","CONSULTANT FEES")</f>
        <v xml:space="preserve">          6332 - CONSULTANT FEES</v>
      </c>
      <c r="C54" s="12"/>
      <c r="D54" s="8"/>
      <c r="E54" s="3"/>
      <c r="F54" s="7">
        <f t="shared" si="8"/>
        <v>0</v>
      </c>
      <c r="G54" s="3"/>
      <c r="H54" s="8">
        <v>0</v>
      </c>
      <c r="I54" s="3"/>
      <c r="J54" s="7">
        <f t="shared" si="9"/>
        <v>0</v>
      </c>
      <c r="K54" s="3"/>
      <c r="L54" s="8">
        <f t="shared" si="10"/>
        <v>0</v>
      </c>
      <c r="M54" s="3"/>
      <c r="N54" s="7">
        <f t="shared" si="11"/>
        <v>0</v>
      </c>
      <c r="O54" s="12"/>
      <c r="P54" s="8"/>
      <c r="Q54" s="3"/>
      <c r="R54" s="7">
        <f t="shared" si="12"/>
        <v>0</v>
      </c>
      <c r="S54" s="3"/>
      <c r="T54" s="8">
        <v>0</v>
      </c>
      <c r="U54" s="3"/>
      <c r="V54" s="7">
        <f t="shared" si="13"/>
        <v>0</v>
      </c>
      <c r="W54" s="3"/>
      <c r="X54" s="8">
        <f t="shared" si="14"/>
        <v>0</v>
      </c>
      <c r="Y54" s="3"/>
      <c r="Z54" s="7">
        <f t="shared" si="15"/>
        <v>0</v>
      </c>
    </row>
    <row r="55" spans="1:26" s="70" customFormat="1" ht="15" hidden="1" customHeight="1" outlineLevel="2" x14ac:dyDescent="0.3">
      <c r="A55" s="26"/>
      <c r="B55" s="12" t="str">
        <f>CONCATENATE("          ","6334"," - ","LEGAL COUNCIL EXPENSE")</f>
        <v xml:space="preserve">          6334 - LEGAL COUNCIL EXPENSE</v>
      </c>
      <c r="C55" s="12"/>
      <c r="D55" s="8"/>
      <c r="E55" s="3"/>
      <c r="F55" s="7">
        <f t="shared" si="8"/>
        <v>0</v>
      </c>
      <c r="G55" s="3"/>
      <c r="H55" s="8">
        <v>833</v>
      </c>
      <c r="I55" s="3"/>
      <c r="J55" s="7">
        <f t="shared" si="9"/>
        <v>0</v>
      </c>
      <c r="K55" s="3"/>
      <c r="L55" s="8">
        <f t="shared" si="10"/>
        <v>-833</v>
      </c>
      <c r="M55" s="3"/>
      <c r="N55" s="7">
        <f t="shared" si="11"/>
        <v>-1</v>
      </c>
      <c r="O55" s="12"/>
      <c r="P55" s="8">
        <v>3255</v>
      </c>
      <c r="Q55" s="3"/>
      <c r="R55" s="7">
        <f t="shared" si="12"/>
        <v>0</v>
      </c>
      <c r="S55" s="3"/>
      <c r="T55" s="8">
        <v>6664</v>
      </c>
      <c r="U55" s="3"/>
      <c r="V55" s="7">
        <f t="shared" si="13"/>
        <v>0</v>
      </c>
      <c r="W55" s="3"/>
      <c r="X55" s="8">
        <f t="shared" si="14"/>
        <v>-3409</v>
      </c>
      <c r="Y55" s="3"/>
      <c r="Z55" s="7">
        <f t="shared" si="15"/>
        <v>-0.51155462184873945</v>
      </c>
    </row>
    <row r="56" spans="1:26" s="70" customFormat="1" ht="15" hidden="1" customHeight="1" outlineLevel="2" x14ac:dyDescent="0.3">
      <c r="A56" s="26"/>
      <c r="B56" s="12" t="str">
        <f>CONCATENATE("          ","6336"," - ","PROFESSIONAL SERVICES")</f>
        <v xml:space="preserve">          6336 - PROFESSIONAL SERVICES</v>
      </c>
      <c r="C56" s="12"/>
      <c r="D56" s="8"/>
      <c r="E56" s="3"/>
      <c r="F56" s="7">
        <f t="shared" si="8"/>
        <v>0</v>
      </c>
      <c r="G56" s="3"/>
      <c r="H56" s="8">
        <v>833</v>
      </c>
      <c r="I56" s="3"/>
      <c r="J56" s="7">
        <f t="shared" si="9"/>
        <v>0</v>
      </c>
      <c r="K56" s="3"/>
      <c r="L56" s="8">
        <f t="shared" si="10"/>
        <v>-833</v>
      </c>
      <c r="M56" s="3"/>
      <c r="N56" s="7">
        <f t="shared" si="11"/>
        <v>-1</v>
      </c>
      <c r="O56" s="12"/>
      <c r="P56" s="8">
        <v>7303.68</v>
      </c>
      <c r="Q56" s="3"/>
      <c r="R56" s="7">
        <f t="shared" si="12"/>
        <v>0</v>
      </c>
      <c r="S56" s="3"/>
      <c r="T56" s="8">
        <v>6664</v>
      </c>
      <c r="U56" s="3"/>
      <c r="V56" s="7">
        <f t="shared" si="13"/>
        <v>0</v>
      </c>
      <c r="W56" s="3"/>
      <c r="X56" s="8">
        <f t="shared" si="14"/>
        <v>639.68000000000029</v>
      </c>
      <c r="Y56" s="3"/>
      <c r="Z56" s="7">
        <f t="shared" si="15"/>
        <v>9.5990396158463429E-2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10476.230000000001</v>
      </c>
      <c r="E57" s="2"/>
      <c r="F57" s="6">
        <f t="shared" si="8"/>
        <v>0</v>
      </c>
      <c r="G57" s="2"/>
      <c r="H57" s="2">
        <f>SUM(OSRRefH22_9x_0)</f>
        <v>7000</v>
      </c>
      <c r="I57" s="2"/>
      <c r="J57" s="6">
        <f t="shared" si="9"/>
        <v>0</v>
      </c>
      <c r="K57" s="2"/>
      <c r="L57" s="2">
        <f t="shared" si="10"/>
        <v>3476.2300000000014</v>
      </c>
      <c r="M57" s="2"/>
      <c r="N57" s="6">
        <f t="shared" si="11"/>
        <v>0.49660428571428589</v>
      </c>
      <c r="O57" s="14"/>
      <c r="P57" s="2">
        <f>SUM(OSRRefP22_9x_0)</f>
        <v>52043.81</v>
      </c>
      <c r="Q57" s="2"/>
      <c r="R57" s="6">
        <f t="shared" si="12"/>
        <v>0</v>
      </c>
      <c r="S57" s="2"/>
      <c r="T57" s="2">
        <f>SUM(OSRRefT22_9x_0)</f>
        <v>56000</v>
      </c>
      <c r="U57" s="2"/>
      <c r="V57" s="6">
        <f t="shared" si="13"/>
        <v>0</v>
      </c>
      <c r="W57" s="2"/>
      <c r="X57" s="2">
        <f t="shared" si="14"/>
        <v>-3956.1900000000023</v>
      </c>
      <c r="Y57" s="2"/>
      <c r="Z57" s="6">
        <f t="shared" si="15"/>
        <v>-7.0646250000000035E-2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8">
        <v>10341.94</v>
      </c>
      <c r="E58" s="3"/>
      <c r="F58" s="7">
        <f t="shared" si="8"/>
        <v>0</v>
      </c>
      <c r="G58" s="3"/>
      <c r="H58" s="8">
        <v>7000</v>
      </c>
      <c r="I58" s="3"/>
      <c r="J58" s="7">
        <f t="shared" si="9"/>
        <v>0</v>
      </c>
      <c r="K58" s="3"/>
      <c r="L58" s="8">
        <f t="shared" si="10"/>
        <v>3341.9400000000005</v>
      </c>
      <c r="M58" s="3"/>
      <c r="N58" s="7">
        <f t="shared" si="11"/>
        <v>0.47742000000000007</v>
      </c>
      <c r="O58" s="12"/>
      <c r="P58" s="8">
        <v>51611.18</v>
      </c>
      <c r="Q58" s="3"/>
      <c r="R58" s="7">
        <f t="shared" si="12"/>
        <v>0</v>
      </c>
      <c r="S58" s="3"/>
      <c r="T58" s="8">
        <v>56000</v>
      </c>
      <c r="U58" s="3"/>
      <c r="V58" s="7">
        <f t="shared" si="13"/>
        <v>0</v>
      </c>
      <c r="W58" s="3"/>
      <c r="X58" s="8">
        <f t="shared" si="14"/>
        <v>-4388.82</v>
      </c>
      <c r="Y58" s="3"/>
      <c r="Z58" s="7">
        <f t="shared" si="15"/>
        <v>-7.8371785714285713E-2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8">
        <v>134.29</v>
      </c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134.29</v>
      </c>
      <c r="M59" s="3"/>
      <c r="N59" s="7">
        <f t="shared" si="11"/>
        <v>0</v>
      </c>
      <c r="O59" s="12"/>
      <c r="P59" s="8">
        <v>432.63</v>
      </c>
      <c r="Q59" s="3"/>
      <c r="R59" s="7">
        <f t="shared" si="12"/>
        <v>0</v>
      </c>
      <c r="S59" s="3"/>
      <c r="T59" s="8"/>
      <c r="U59" s="3"/>
      <c r="V59" s="7">
        <f t="shared" si="13"/>
        <v>0</v>
      </c>
      <c r="W59" s="3"/>
      <c r="X59" s="8">
        <f t="shared" si="14"/>
        <v>432.63</v>
      </c>
      <c r="Y59" s="3"/>
      <c r="Z59" s="7">
        <f t="shared" si="15"/>
        <v>0</v>
      </c>
    </row>
    <row r="60" spans="1:26" s="69" customFormat="1" ht="15" customHeight="1" outlineLevel="1" collapsed="1" x14ac:dyDescent="0.3">
      <c r="A60" s="25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2">
        <f>SUM(OSRRefD22_10x_0)</f>
        <v>1278.9000000000001</v>
      </c>
      <c r="E60" s="2"/>
      <c r="F60" s="6">
        <f t="shared" si="8"/>
        <v>0</v>
      </c>
      <c r="G60" s="2"/>
      <c r="H60" s="2">
        <f>SUM(OSRRefH22_10x_0)</f>
        <v>0</v>
      </c>
      <c r="I60" s="2"/>
      <c r="J60" s="6">
        <f t="shared" si="9"/>
        <v>0</v>
      </c>
      <c r="K60" s="2"/>
      <c r="L60" s="2">
        <f t="shared" si="10"/>
        <v>1278.9000000000001</v>
      </c>
      <c r="M60" s="2"/>
      <c r="N60" s="6">
        <f t="shared" si="11"/>
        <v>0</v>
      </c>
      <c r="O60" s="14"/>
      <c r="P60" s="2">
        <f>SUM(OSRRefP22_10x_0)</f>
        <v>2730.9</v>
      </c>
      <c r="Q60" s="2"/>
      <c r="R60" s="6">
        <f t="shared" si="12"/>
        <v>0</v>
      </c>
      <c r="S60" s="2"/>
      <c r="T60" s="2">
        <f>SUM(OSRRefT22_10x_0)</f>
        <v>1000</v>
      </c>
      <c r="U60" s="2"/>
      <c r="V60" s="6">
        <f t="shared" si="13"/>
        <v>0</v>
      </c>
      <c r="W60" s="2"/>
      <c r="X60" s="2">
        <f t="shared" si="14"/>
        <v>1730.9</v>
      </c>
      <c r="Y60" s="2"/>
      <c r="Z60" s="6">
        <f t="shared" si="15"/>
        <v>1.7309000000000001</v>
      </c>
    </row>
    <row r="61" spans="1:26" s="70" customFormat="1" ht="15" hidden="1" customHeight="1" outlineLevel="2" x14ac:dyDescent="0.3">
      <c r="A61" s="26"/>
      <c r="B61" s="12" t="str">
        <f>CONCATENATE("          ","6258"," - ","MEMBERSHIP DUES")</f>
        <v xml:space="preserve">          6258 - MEMBERSHIP DUES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1452</v>
      </c>
      <c r="Q61" s="3"/>
      <c r="R61" s="7">
        <f t="shared" si="12"/>
        <v>0</v>
      </c>
      <c r="S61" s="3"/>
      <c r="T61" s="8">
        <v>1000</v>
      </c>
      <c r="U61" s="3"/>
      <c r="V61" s="7">
        <f t="shared" si="13"/>
        <v>0</v>
      </c>
      <c r="W61" s="3"/>
      <c r="X61" s="8">
        <f t="shared" si="14"/>
        <v>452</v>
      </c>
      <c r="Y61" s="3"/>
      <c r="Z61" s="7">
        <f t="shared" si="15"/>
        <v>0.45200000000000001</v>
      </c>
    </row>
    <row r="62" spans="1:26" s="70" customFormat="1" ht="15" hidden="1" customHeight="1" outlineLevel="2" x14ac:dyDescent="0.3">
      <c r="A62" s="26"/>
      <c r="B62" s="12" t="str">
        <f>CONCATENATE("          ","6275"," - ","SUBSCRIPTIONS")</f>
        <v xml:space="preserve">          6275 - SUBSCRIPTIONS</v>
      </c>
      <c r="C62" s="12"/>
      <c r="D62" s="8">
        <v>1278.9000000000001</v>
      </c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1278.9000000000001</v>
      </c>
      <c r="M62" s="3"/>
      <c r="N62" s="7">
        <f t="shared" si="11"/>
        <v>0</v>
      </c>
      <c r="O62" s="12"/>
      <c r="P62" s="8">
        <v>1278.9000000000001</v>
      </c>
      <c r="Q62" s="3"/>
      <c r="R62" s="7">
        <f t="shared" si="12"/>
        <v>0</v>
      </c>
      <c r="S62" s="3"/>
      <c r="T62" s="8"/>
      <c r="U62" s="3"/>
      <c r="V62" s="7">
        <f t="shared" si="13"/>
        <v>0</v>
      </c>
      <c r="W62" s="3"/>
      <c r="X62" s="8">
        <f t="shared" si="14"/>
        <v>1278.9000000000001</v>
      </c>
      <c r="Y62" s="3"/>
      <c r="Z62" s="7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8825.0600000000013</v>
      </c>
      <c r="E63" s="2"/>
      <c r="F63" s="6">
        <f t="shared" si="8"/>
        <v>0</v>
      </c>
      <c r="G63" s="2"/>
      <c r="H63" s="2">
        <f>SUM(OSRRefH22_11x_0)</f>
        <v>1834</v>
      </c>
      <c r="I63" s="2"/>
      <c r="J63" s="6">
        <f t="shared" si="9"/>
        <v>0</v>
      </c>
      <c r="K63" s="2"/>
      <c r="L63" s="2">
        <f t="shared" si="10"/>
        <v>6991.0600000000013</v>
      </c>
      <c r="M63" s="2"/>
      <c r="N63" s="6">
        <f t="shared" si="11"/>
        <v>3.8119193020719746</v>
      </c>
      <c r="O63" s="14"/>
      <c r="P63" s="2">
        <f>SUM(OSRRefP22_11x_0)</f>
        <v>16928.91</v>
      </c>
      <c r="Q63" s="2"/>
      <c r="R63" s="6">
        <f t="shared" si="12"/>
        <v>0</v>
      </c>
      <c r="S63" s="2"/>
      <c r="T63" s="2">
        <f>SUM(OSRRefT22_11x_0)</f>
        <v>14672</v>
      </c>
      <c r="U63" s="2"/>
      <c r="V63" s="6">
        <f t="shared" si="13"/>
        <v>0</v>
      </c>
      <c r="W63" s="2"/>
      <c r="X63" s="2">
        <f t="shared" si="14"/>
        <v>2256.91</v>
      </c>
      <c r="Y63" s="2"/>
      <c r="Z63" s="6">
        <f t="shared" si="15"/>
        <v>0.1538242911668484</v>
      </c>
    </row>
    <row r="64" spans="1:26" s="70" customFormat="1" ht="15" hidden="1" customHeight="1" outlineLevel="2" x14ac:dyDescent="0.3">
      <c r="A64" s="26"/>
      <c r="B64" s="12" t="str">
        <f>CONCATENATE("          ","6235"," - ","COVID-19 EXPENSES")</f>
        <v xml:space="preserve">          6235 - COVID-19 EXPENSES</v>
      </c>
      <c r="C64" s="12"/>
      <c r="D64" s="8">
        <v>188.36</v>
      </c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188.36</v>
      </c>
      <c r="M64" s="3"/>
      <c r="N64" s="7">
        <f t="shared" si="11"/>
        <v>0</v>
      </c>
      <c r="O64" s="12"/>
      <c r="P64" s="8">
        <v>2636.13</v>
      </c>
      <c r="Q64" s="3"/>
      <c r="R64" s="7">
        <f t="shared" si="12"/>
        <v>0</v>
      </c>
      <c r="S64" s="3"/>
      <c r="T64" s="8"/>
      <c r="U64" s="3"/>
      <c r="V64" s="7">
        <f t="shared" si="13"/>
        <v>0</v>
      </c>
      <c r="W64" s="3"/>
      <c r="X64" s="8">
        <f t="shared" si="14"/>
        <v>2636.13</v>
      </c>
      <c r="Y64" s="3"/>
      <c r="Z64" s="7">
        <f t="shared" si="15"/>
        <v>0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>
        <v>85.1</v>
      </c>
      <c r="E65" s="3"/>
      <c r="F65" s="7">
        <f t="shared" si="8"/>
        <v>0</v>
      </c>
      <c r="G65" s="3"/>
      <c r="H65" s="8">
        <v>1417</v>
      </c>
      <c r="I65" s="3"/>
      <c r="J65" s="7">
        <f t="shared" si="9"/>
        <v>0</v>
      </c>
      <c r="K65" s="3"/>
      <c r="L65" s="8">
        <f t="shared" si="10"/>
        <v>-1331.9</v>
      </c>
      <c r="M65" s="3"/>
      <c r="N65" s="7">
        <f t="shared" si="11"/>
        <v>-0.93994354269583635</v>
      </c>
      <c r="O65" s="12"/>
      <c r="P65" s="8">
        <v>2356.4899999999998</v>
      </c>
      <c r="Q65" s="3"/>
      <c r="R65" s="7">
        <f t="shared" si="12"/>
        <v>0</v>
      </c>
      <c r="S65" s="3"/>
      <c r="T65" s="8">
        <v>11336</v>
      </c>
      <c r="U65" s="3"/>
      <c r="V65" s="7">
        <f t="shared" si="13"/>
        <v>0</v>
      </c>
      <c r="W65" s="3"/>
      <c r="X65" s="8">
        <f t="shared" si="14"/>
        <v>-8979.51</v>
      </c>
      <c r="Y65" s="3"/>
      <c r="Z65" s="7">
        <f t="shared" si="15"/>
        <v>-0.79212332392378271</v>
      </c>
    </row>
    <row r="66" spans="1:26" s="70" customFormat="1" ht="15" hidden="1" customHeight="1" outlineLevel="2" x14ac:dyDescent="0.3">
      <c r="A66" s="26"/>
      <c r="B66" s="12" t="str">
        <f>CONCATENATE("          ","6244"," - ","SAFETY SUPPLY EXPENSE")</f>
        <v xml:space="preserve">          6244 - SAFETY SUPPLY EXPENSE</v>
      </c>
      <c r="C66" s="12"/>
      <c r="D66" s="8">
        <v>50</v>
      </c>
      <c r="E66" s="3"/>
      <c r="F66" s="7">
        <f t="shared" si="8"/>
        <v>0</v>
      </c>
      <c r="G66" s="3"/>
      <c r="H66" s="8">
        <v>417</v>
      </c>
      <c r="I66" s="3"/>
      <c r="J66" s="7">
        <f t="shared" si="9"/>
        <v>0</v>
      </c>
      <c r="K66" s="3"/>
      <c r="L66" s="8">
        <f t="shared" si="10"/>
        <v>-367</v>
      </c>
      <c r="M66" s="3"/>
      <c r="N66" s="7">
        <f t="shared" si="11"/>
        <v>-0.88009592326139086</v>
      </c>
      <c r="O66" s="12"/>
      <c r="P66" s="8">
        <v>650</v>
      </c>
      <c r="Q66" s="3"/>
      <c r="R66" s="7">
        <f t="shared" si="12"/>
        <v>0</v>
      </c>
      <c r="S66" s="3"/>
      <c r="T66" s="8">
        <v>3336</v>
      </c>
      <c r="U66" s="3"/>
      <c r="V66" s="7">
        <f t="shared" si="13"/>
        <v>0</v>
      </c>
      <c r="W66" s="3"/>
      <c r="X66" s="8">
        <f t="shared" si="14"/>
        <v>-2686</v>
      </c>
      <c r="Y66" s="3"/>
      <c r="Z66" s="7">
        <f t="shared" si="15"/>
        <v>-0.80515587529976018</v>
      </c>
    </row>
    <row r="67" spans="1:26" s="70" customFormat="1" ht="15" hidden="1" customHeight="1" outlineLevel="2" x14ac:dyDescent="0.3">
      <c r="A67" s="26"/>
      <c r="B67" s="12" t="str">
        <f>CONCATENATE("          ","6248"," - ","UNIFORMS")</f>
        <v xml:space="preserve">          6248 - UNIFORMS</v>
      </c>
      <c r="C67" s="12"/>
      <c r="D67" s="8">
        <v>8501.6</v>
      </c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8501.6</v>
      </c>
      <c r="M67" s="3"/>
      <c r="N67" s="7">
        <f t="shared" si="11"/>
        <v>0</v>
      </c>
      <c r="O67" s="12"/>
      <c r="P67" s="8">
        <v>11286.29</v>
      </c>
      <c r="Q67" s="3"/>
      <c r="R67" s="7">
        <f t="shared" si="12"/>
        <v>0</v>
      </c>
      <c r="S67" s="3"/>
      <c r="T67" s="8"/>
      <c r="U67" s="3"/>
      <c r="V67" s="7">
        <f t="shared" si="13"/>
        <v>0</v>
      </c>
      <c r="W67" s="3"/>
      <c r="X67" s="8">
        <f t="shared" si="14"/>
        <v>11286.29</v>
      </c>
      <c r="Y67" s="3"/>
      <c r="Z67" s="7">
        <f t="shared" si="15"/>
        <v>0</v>
      </c>
    </row>
    <row r="68" spans="1:26" s="69" customFormat="1" ht="15" customHeight="1" outlineLevel="1" collapsed="1" x14ac:dyDescent="0.3">
      <c r="A68" s="25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SUM(OSRRefD22_12x_0)</f>
        <v>578.6</v>
      </c>
      <c r="E68" s="2"/>
      <c r="F68" s="6">
        <f t="shared" si="8"/>
        <v>0</v>
      </c>
      <c r="G68" s="2"/>
      <c r="H68" s="2">
        <f>SUM(OSRRefH22_12x_0)</f>
        <v>283</v>
      </c>
      <c r="I68" s="2"/>
      <c r="J68" s="6">
        <f t="shared" si="9"/>
        <v>0</v>
      </c>
      <c r="K68" s="2"/>
      <c r="L68" s="2">
        <f t="shared" si="10"/>
        <v>295.60000000000002</v>
      </c>
      <c r="M68" s="2"/>
      <c r="N68" s="6">
        <f t="shared" si="11"/>
        <v>1.04452296819788</v>
      </c>
      <c r="O68" s="14"/>
      <c r="P68" s="2">
        <f>SUM(OSRRefP22_12x_0)</f>
        <v>3977.8</v>
      </c>
      <c r="Q68" s="2"/>
      <c r="R68" s="6">
        <f t="shared" si="12"/>
        <v>0</v>
      </c>
      <c r="S68" s="2"/>
      <c r="T68" s="2">
        <f>SUM(OSRRefT22_12x_0)</f>
        <v>2264</v>
      </c>
      <c r="U68" s="2"/>
      <c r="V68" s="6">
        <f t="shared" si="13"/>
        <v>0</v>
      </c>
      <c r="W68" s="2"/>
      <c r="X68" s="2">
        <f t="shared" si="14"/>
        <v>1713.8000000000002</v>
      </c>
      <c r="Y68" s="2"/>
      <c r="Z68" s="6">
        <f t="shared" si="15"/>
        <v>0.75697879858657247</v>
      </c>
    </row>
    <row r="69" spans="1:26" s="70" customFormat="1" ht="15" hidden="1" customHeight="1" outlineLevel="2" x14ac:dyDescent="0.3">
      <c r="A69" s="26"/>
      <c r="B69" s="12" t="str">
        <f>CONCATENATE("          ","6309"," - ","TELEPHONE")</f>
        <v xml:space="preserve">          6309 - TELEPHONE</v>
      </c>
      <c r="C69" s="12"/>
      <c r="D69" s="8">
        <v>578.6</v>
      </c>
      <c r="E69" s="3"/>
      <c r="F69" s="7">
        <f t="shared" si="8"/>
        <v>0</v>
      </c>
      <c r="G69" s="3"/>
      <c r="H69" s="8">
        <v>283</v>
      </c>
      <c r="I69" s="3"/>
      <c r="J69" s="7">
        <f t="shared" si="9"/>
        <v>0</v>
      </c>
      <c r="K69" s="3"/>
      <c r="L69" s="8">
        <f t="shared" si="10"/>
        <v>295.60000000000002</v>
      </c>
      <c r="M69" s="3"/>
      <c r="N69" s="7">
        <f t="shared" si="11"/>
        <v>1.04452296819788</v>
      </c>
      <c r="O69" s="12"/>
      <c r="P69" s="8">
        <v>3977.8</v>
      </c>
      <c r="Q69" s="3"/>
      <c r="R69" s="7">
        <f t="shared" si="12"/>
        <v>0</v>
      </c>
      <c r="S69" s="3"/>
      <c r="T69" s="8">
        <v>2264</v>
      </c>
      <c r="U69" s="3"/>
      <c r="V69" s="7">
        <f t="shared" si="13"/>
        <v>0</v>
      </c>
      <c r="W69" s="3"/>
      <c r="X69" s="8">
        <f t="shared" si="14"/>
        <v>1713.8000000000002</v>
      </c>
      <c r="Y69" s="3"/>
      <c r="Z69" s="7">
        <f t="shared" si="15"/>
        <v>0.75697879858657247</v>
      </c>
    </row>
    <row r="70" spans="1:26" s="69" customFormat="1" ht="15" customHeight="1" outlineLevel="1" collapsed="1" x14ac:dyDescent="0.3">
      <c r="A70" s="25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SUM(OSRRefD22_13x_0)</f>
        <v>0</v>
      </c>
      <c r="E70" s="2"/>
      <c r="F70" s="6">
        <f t="shared" si="8"/>
        <v>0</v>
      </c>
      <c r="G70" s="2"/>
      <c r="H70" s="2">
        <f>SUM(OSRRefH22_13x_0)</f>
        <v>333</v>
      </c>
      <c r="I70" s="2"/>
      <c r="J70" s="6">
        <f t="shared" si="9"/>
        <v>0</v>
      </c>
      <c r="K70" s="2"/>
      <c r="L70" s="2">
        <f t="shared" si="10"/>
        <v>-333</v>
      </c>
      <c r="M70" s="2"/>
      <c r="N70" s="6">
        <f t="shared" si="11"/>
        <v>-1</v>
      </c>
      <c r="O70" s="14"/>
      <c r="P70" s="2">
        <f>SUM(OSRRefP22_13x_0)</f>
        <v>475</v>
      </c>
      <c r="Q70" s="2"/>
      <c r="R70" s="6">
        <f t="shared" si="12"/>
        <v>0</v>
      </c>
      <c r="S70" s="2"/>
      <c r="T70" s="2">
        <f>SUM(OSRRefT22_13x_0)</f>
        <v>2664</v>
      </c>
      <c r="U70" s="2"/>
      <c r="V70" s="6">
        <f t="shared" si="13"/>
        <v>0</v>
      </c>
      <c r="W70" s="2"/>
      <c r="X70" s="2">
        <f t="shared" si="14"/>
        <v>-2189</v>
      </c>
      <c r="Y70" s="2"/>
      <c r="Z70" s="6">
        <f t="shared" si="15"/>
        <v>-0.82169669669669665</v>
      </c>
    </row>
    <row r="71" spans="1:26" s="70" customFormat="1" ht="15" hidden="1" customHeight="1" outlineLevel="2" x14ac:dyDescent="0.3">
      <c r="A71" s="26"/>
      <c r="B71" s="12" t="str">
        <f>CONCATENATE("          ","6376"," - ","TRAINING")</f>
        <v xml:space="preserve">          6376 - TRAINING</v>
      </c>
      <c r="C71" s="12"/>
      <c r="D71" s="8"/>
      <c r="E71" s="3"/>
      <c r="F71" s="7">
        <f t="shared" si="8"/>
        <v>0</v>
      </c>
      <c r="G71" s="3"/>
      <c r="H71" s="8">
        <v>333</v>
      </c>
      <c r="I71" s="3"/>
      <c r="J71" s="7">
        <f t="shared" si="9"/>
        <v>0</v>
      </c>
      <c r="K71" s="3"/>
      <c r="L71" s="8">
        <f t="shared" si="10"/>
        <v>-333</v>
      </c>
      <c r="M71" s="3"/>
      <c r="N71" s="7">
        <f t="shared" si="11"/>
        <v>-1</v>
      </c>
      <c r="O71" s="12"/>
      <c r="P71" s="8">
        <v>475</v>
      </c>
      <c r="Q71" s="3"/>
      <c r="R71" s="7">
        <f t="shared" si="12"/>
        <v>0</v>
      </c>
      <c r="S71" s="3"/>
      <c r="T71" s="8">
        <v>2664</v>
      </c>
      <c r="U71" s="3"/>
      <c r="V71" s="7">
        <f t="shared" si="13"/>
        <v>0</v>
      </c>
      <c r="W71" s="3"/>
      <c r="X71" s="8">
        <f t="shared" si="14"/>
        <v>-2189</v>
      </c>
      <c r="Y71" s="3"/>
      <c r="Z71" s="7">
        <f t="shared" si="15"/>
        <v>-0.82169669669669665</v>
      </c>
    </row>
    <row r="72" spans="1:26" s="69" customFormat="1" ht="15" customHeight="1" outlineLevel="1" collapsed="1" x14ac:dyDescent="0.3">
      <c r="A72" s="25"/>
      <c r="B72" s="14" t="str">
        <f>CONCATENATE("     ","Travel                                            ")</f>
        <v xml:space="preserve">     Travel                                            </v>
      </c>
      <c r="C72" s="14"/>
      <c r="D72" s="2">
        <f>SUM(OSRRefD22_14x_0)</f>
        <v>0</v>
      </c>
      <c r="E72" s="2"/>
      <c r="F72" s="6">
        <f t="shared" si="8"/>
        <v>0</v>
      </c>
      <c r="G72" s="2"/>
      <c r="H72" s="2">
        <f>SUM(OSRRefH22_14x_0)</f>
        <v>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SUM(OSRRefP22_14x_0)</f>
        <v>0</v>
      </c>
      <c r="Q72" s="2"/>
      <c r="R72" s="6">
        <f t="shared" si="12"/>
        <v>0</v>
      </c>
      <c r="S72" s="2"/>
      <c r="T72" s="2">
        <f>SUM(OSRRefT22_14x_0)</f>
        <v>720</v>
      </c>
      <c r="U72" s="2"/>
      <c r="V72" s="6">
        <f t="shared" si="13"/>
        <v>0</v>
      </c>
      <c r="W72" s="2"/>
      <c r="X72" s="2">
        <f t="shared" si="14"/>
        <v>-720</v>
      </c>
      <c r="Y72" s="2"/>
      <c r="Z72" s="6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","6292"," - ","TRAVEL/CONFERENCE")</f>
        <v xml:space="preserve">          6292 - TRAVEL/CONFERENCE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/>
      <c r="Q73" s="3"/>
      <c r="R73" s="7">
        <f t="shared" si="12"/>
        <v>0</v>
      </c>
      <c r="S73" s="3"/>
      <c r="T73" s="8">
        <v>720</v>
      </c>
      <c r="U73" s="3"/>
      <c r="V73" s="7">
        <f t="shared" si="13"/>
        <v>0</v>
      </c>
      <c r="W73" s="3"/>
      <c r="X73" s="8">
        <f t="shared" si="14"/>
        <v>-720</v>
      </c>
      <c r="Y73" s="3"/>
      <c r="Z73" s="7">
        <f t="shared" si="15"/>
        <v>-1</v>
      </c>
    </row>
    <row r="74" spans="1:26" s="65" customFormat="1" ht="15" customHeight="1" x14ac:dyDescent="0.3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x14ac:dyDescent="0.3">
      <c r="A75" s="11"/>
      <c r="B75" s="27" t="s">
        <v>291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11"/>
      <c r="B77" s="28" t="s">
        <v>292</v>
      </c>
      <c r="C77" s="28"/>
      <c r="D77" s="21">
        <f>+D16-D18+D75</f>
        <v>-63102.47</v>
      </c>
      <c r="E77" s="15"/>
      <c r="F77" s="22">
        <f>IF(D$12=0,0,D77/D$12)</f>
        <v>0</v>
      </c>
      <c r="G77" s="15"/>
      <c r="H77" s="21">
        <f>+H16-H18+H75</f>
        <v>-46434.26516968615</v>
      </c>
      <c r="I77" s="15"/>
      <c r="J77" s="22">
        <f>IF(H$12=0,0,H77/H$12)</f>
        <v>0</v>
      </c>
      <c r="K77" s="16"/>
      <c r="L77" s="21">
        <f>+D77-H77</f>
        <v>-16668.204830313851</v>
      </c>
      <c r="M77" s="16"/>
      <c r="N77" s="22">
        <f>IF(H77=0,0,L77/H77)</f>
        <v>0.3589634673748518</v>
      </c>
      <c r="O77" s="27"/>
      <c r="P77" s="21">
        <f>+P16-P18+P75</f>
        <v>-448414.18999999994</v>
      </c>
      <c r="Q77" s="15"/>
      <c r="R77" s="22">
        <f>IF(P$12=0,0,P77/P$12)</f>
        <v>0</v>
      </c>
      <c r="S77" s="15"/>
      <c r="T77" s="21">
        <f>+T16-T18+T75</f>
        <v>-396534.82023475383</v>
      </c>
      <c r="U77" s="15"/>
      <c r="V77" s="22">
        <f>IF(T$12=0,0,T77/T$12)</f>
        <v>0</v>
      </c>
      <c r="W77" s="16"/>
      <c r="X77" s="21">
        <f>+P77-T77</f>
        <v>-51879.369765246112</v>
      </c>
      <c r="Y77" s="16"/>
      <c r="Z77" s="22">
        <f>IF(T77=0,0,X77/T77)</f>
        <v>0.13083181379767064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49"/>
      <c r="B79" s="11" t="s">
        <v>293</v>
      </c>
      <c r="C79" s="11"/>
      <c r="D79" s="5"/>
      <c r="E79" s="5"/>
      <c r="F79" s="13">
        <f>IF(D$12=0,0,D79/D$12)</f>
        <v>0</v>
      </c>
      <c r="G79" s="5"/>
      <c r="H79" s="5"/>
      <c r="I79" s="5"/>
      <c r="J79" s="13">
        <f>IF(H$12=0,0,H79/H$12)</f>
        <v>0</v>
      </c>
      <c r="K79" s="5"/>
      <c r="L79" s="5">
        <f>+D79-H79</f>
        <v>0</v>
      </c>
      <c r="M79" s="5"/>
      <c r="N79" s="13">
        <f>IF(H79=0,0,L79/H79)</f>
        <v>0</v>
      </c>
      <c r="O79" s="11"/>
      <c r="P79" s="5"/>
      <c r="Q79" s="5"/>
      <c r="R79" s="13">
        <f>IF(P$12=0,0,P79/P$12)</f>
        <v>0</v>
      </c>
      <c r="S79" s="5"/>
      <c r="T79" s="5"/>
      <c r="U79" s="5"/>
      <c r="V79" s="13">
        <f>IF(T$12=0,0,T79/T$12)</f>
        <v>0</v>
      </c>
      <c r="W79" s="5"/>
      <c r="X79" s="5">
        <f>+P79-T79</f>
        <v>0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8" t="s">
        <v>294</v>
      </c>
      <c r="C81" s="28"/>
      <c r="D81" s="33">
        <f>+D77-D79</f>
        <v>-63102.47</v>
      </c>
      <c r="E81" s="15"/>
      <c r="F81" s="32">
        <f>IF(D$12=0,0,D81/D$12)</f>
        <v>0</v>
      </c>
      <c r="G81" s="15"/>
      <c r="H81" s="33">
        <f>+H77-H79</f>
        <v>-46434.26516968615</v>
      </c>
      <c r="I81" s="15"/>
      <c r="J81" s="32">
        <f>IF(H$12=0,0,H81/H$12)</f>
        <v>0</v>
      </c>
      <c r="K81" s="16"/>
      <c r="L81" s="33">
        <f>D81-H81</f>
        <v>-16668.204830313851</v>
      </c>
      <c r="M81" s="16"/>
      <c r="N81" s="32">
        <f>IF(H81=0,0,L81/H81)</f>
        <v>0.3589634673748518</v>
      </c>
      <c r="O81" s="27"/>
      <c r="P81" s="33">
        <f>+P77-P79</f>
        <v>-448414.18999999994</v>
      </c>
      <c r="Q81" s="15"/>
      <c r="R81" s="32">
        <f>IF(P$12=0,0,P81/P$12)</f>
        <v>0</v>
      </c>
      <c r="S81" s="15"/>
      <c r="T81" s="33">
        <f>+T77-T79</f>
        <v>-396534.82023475383</v>
      </c>
      <c r="U81" s="15"/>
      <c r="V81" s="32">
        <f>IF(T$12=0,0,T81/T$12)</f>
        <v>0</v>
      </c>
      <c r="W81" s="16"/>
      <c r="X81" s="33">
        <f>P81-T81</f>
        <v>-51879.369765246112</v>
      </c>
      <c r="Y81" s="16"/>
      <c r="Z81" s="32">
        <f>IF(T81=0,0,X81/T81)</f>
        <v>0.13083181379767064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8" t="s">
        <v>297</v>
      </c>
      <c r="C84" s="28"/>
      <c r="D84" s="34">
        <f>SUM(D81:D83)</f>
        <v>-63102.47</v>
      </c>
      <c r="E84" s="15"/>
      <c r="F84" s="30">
        <f>IF(D$12=0,0,D84/D$12)</f>
        <v>0</v>
      </c>
      <c r="G84" s="15"/>
      <c r="H84" s="34">
        <f>SUM(H81:H83)</f>
        <v>-46434.26516968615</v>
      </c>
      <c r="I84" s="15"/>
      <c r="J84" s="30">
        <f>IF(H$12=0,0,H84/H$12)</f>
        <v>0</v>
      </c>
      <c r="K84" s="16"/>
      <c r="L84" s="34">
        <f>+D84-H84</f>
        <v>-16668.204830313851</v>
      </c>
      <c r="M84" s="16"/>
      <c r="N84" s="30">
        <f>IF(H84=0,0,L84/H84)</f>
        <v>0.3589634673748518</v>
      </c>
      <c r="O84" s="27"/>
      <c r="P84" s="34">
        <f>SUM(P81:P83)</f>
        <v>-448414.18999999994</v>
      </c>
      <c r="Q84" s="15"/>
      <c r="R84" s="30">
        <f>IF(P$12=0,0,P84/P$12)</f>
        <v>0</v>
      </c>
      <c r="S84" s="15"/>
      <c r="T84" s="34">
        <f>SUM(T81:T83)</f>
        <v>-396534.82023475383</v>
      </c>
      <c r="U84" s="15"/>
      <c r="V84" s="30">
        <f>IF(T$12=0,0,T84/T$12)</f>
        <v>0</v>
      </c>
      <c r="W84" s="16"/>
      <c r="X84" s="34">
        <f>+P84-T84</f>
        <v>-51879.369765246112</v>
      </c>
      <c r="Y84" s="16"/>
      <c r="Z84" s="30">
        <f>IF(T84=0,0,X84/T84)</f>
        <v>0.13083181379767064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0"/>
      <c r="B86" s="57">
        <v>44634.883430555557</v>
      </c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A87" s="10"/>
      <c r="B87" s="56" t="s">
        <v>298</v>
      </c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0"/>
      <c r="B88" s="54"/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7C044-35A1-2B0B-2561-42F2D315A694}">
  <sheetPr>
    <tabColor rgb="FF92D050"/>
    <outlinePr summaryBelow="0" summaryRight="0"/>
  </sheetPr>
  <dimension ref="A2:Z7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","204"," - ","Information Technology")</f>
        <v>Department 204 - Information Technology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57203.45</v>
      </c>
      <c r="E18" s="23"/>
      <c r="F18" s="29">
        <f t="shared" ref="F18:F63" si="0">IF(D$12=0,0,D18/D$12)</f>
        <v>0</v>
      </c>
      <c r="G18" s="23"/>
      <c r="H18" s="23" cm="1">
        <f t="array" ref="H18">SUM(OSRRefH22x_0)</f>
        <v>46202.666047384599</v>
      </c>
      <c r="I18" s="23"/>
      <c r="J18" s="29">
        <f t="shared" ref="J18:J63" si="1">IF(H$12=0,0,H18/H$12)</f>
        <v>0</v>
      </c>
      <c r="K18" s="5"/>
      <c r="L18" s="23">
        <f t="shared" ref="L18:L63" si="2">+D18-H18</f>
        <v>11000.783952615398</v>
      </c>
      <c r="M18" s="5"/>
      <c r="N18" s="29">
        <f t="shared" ref="N18:N63" si="3">IF(H18=0,0,L18/H18)</f>
        <v>0.23809846690087533</v>
      </c>
      <c r="O18" s="11"/>
      <c r="P18" s="23" cm="1">
        <f t="array" ref="P18">SUM(OSRRefP22x_0)</f>
        <v>375930.83999999997</v>
      </c>
      <c r="Q18" s="23"/>
      <c r="R18" s="29">
        <f t="shared" ref="R18:R63" si="4">IF(P$12=0,0,P18/P$12)</f>
        <v>0</v>
      </c>
      <c r="S18" s="23"/>
      <c r="T18" s="23" cm="1">
        <f t="array" ref="T18">SUM(OSRRefT22x_0)</f>
        <v>408336.5779146147</v>
      </c>
      <c r="U18" s="23"/>
      <c r="V18" s="29">
        <f t="shared" ref="V18:V63" si="5">IF(T$12=0,0,T18/T$12)</f>
        <v>0</v>
      </c>
      <c r="W18" s="5"/>
      <c r="X18" s="23">
        <f t="shared" ref="X18:X63" si="6">+P18-T18</f>
        <v>-32405.737914614729</v>
      </c>
      <c r="Y18" s="5"/>
      <c r="Z18" s="29">
        <f t="shared" ref="Z18:Z63" si="7">IF(T18=0,0,X18/T18)</f>
        <v>-7.9360360220756265E-2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10856.75</v>
      </c>
      <c r="E19" s="2"/>
      <c r="F19" s="6">
        <f t="shared" si="0"/>
        <v>0</v>
      </c>
      <c r="G19" s="2"/>
      <c r="H19" s="2">
        <f>SUM(OSRRefH22_0x_0)</f>
        <v>11122.496816615394</v>
      </c>
      <c r="I19" s="2"/>
      <c r="J19" s="6">
        <f t="shared" si="1"/>
        <v>0</v>
      </c>
      <c r="K19" s="2"/>
      <c r="L19" s="2">
        <f t="shared" si="2"/>
        <v>-265.74681661539398</v>
      </c>
      <c r="M19" s="2"/>
      <c r="N19" s="6">
        <f t="shared" si="3"/>
        <v>-2.3892730292213421E-2</v>
      </c>
      <c r="O19" s="14"/>
      <c r="P19" s="2">
        <f>SUM(OSRRefP22_0x_0)</f>
        <v>91339.32</v>
      </c>
      <c r="Q19" s="2"/>
      <c r="R19" s="6">
        <f t="shared" si="4"/>
        <v>0</v>
      </c>
      <c r="S19" s="2"/>
      <c r="T19" s="2">
        <f>SUM(OSRRefT22_0x_0)</f>
        <v>93094.847145384731</v>
      </c>
      <c r="U19" s="2"/>
      <c r="V19" s="6">
        <f t="shared" si="5"/>
        <v>0</v>
      </c>
      <c r="W19" s="2"/>
      <c r="X19" s="2">
        <f t="shared" si="6"/>
        <v>-1755.5271453847236</v>
      </c>
      <c r="Y19" s="2"/>
      <c r="Z19" s="6">
        <f t="shared" si="7"/>
        <v>-1.8857404026273818E-2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1474.55</v>
      </c>
      <c r="E20" s="3"/>
      <c r="F20" s="7">
        <f t="shared" si="0"/>
        <v>0</v>
      </c>
      <c r="G20" s="3"/>
      <c r="H20" s="8">
        <v>1810.8128289230799</v>
      </c>
      <c r="I20" s="3"/>
      <c r="J20" s="7">
        <f t="shared" si="1"/>
        <v>0</v>
      </c>
      <c r="K20" s="3"/>
      <c r="L20" s="8">
        <f t="shared" si="2"/>
        <v>-336.26282892307995</v>
      </c>
      <c r="M20" s="3"/>
      <c r="N20" s="7">
        <f t="shared" si="3"/>
        <v>-0.18569717618085407</v>
      </c>
      <c r="O20" s="12"/>
      <c r="P20" s="8">
        <v>12292.42</v>
      </c>
      <c r="Q20" s="3"/>
      <c r="R20" s="7">
        <f t="shared" si="4"/>
        <v>0</v>
      </c>
      <c r="S20" s="3"/>
      <c r="T20" s="8">
        <v>15844.612253077001</v>
      </c>
      <c r="U20" s="3"/>
      <c r="V20" s="7">
        <f t="shared" si="5"/>
        <v>0</v>
      </c>
      <c r="W20" s="3"/>
      <c r="X20" s="8">
        <f t="shared" si="6"/>
        <v>-3552.1922530770007</v>
      </c>
      <c r="Y20" s="3"/>
      <c r="Z20" s="7">
        <f t="shared" si="7"/>
        <v>-0.2241892825359087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248.65</v>
      </c>
      <c r="E21" s="3"/>
      <c r="F21" s="7">
        <f t="shared" si="0"/>
        <v>0</v>
      </c>
      <c r="G21" s="3"/>
      <c r="H21" s="8">
        <v>73.350578461538504</v>
      </c>
      <c r="I21" s="3"/>
      <c r="J21" s="7">
        <f t="shared" si="1"/>
        <v>0</v>
      </c>
      <c r="K21" s="3"/>
      <c r="L21" s="8">
        <f t="shared" si="2"/>
        <v>175.2994215384615</v>
      </c>
      <c r="M21" s="3"/>
      <c r="N21" s="7">
        <f t="shared" si="3"/>
        <v>2.3898846500628492</v>
      </c>
      <c r="O21" s="12"/>
      <c r="P21" s="8">
        <v>2065.61</v>
      </c>
      <c r="Q21" s="3"/>
      <c r="R21" s="7">
        <f t="shared" si="4"/>
        <v>0</v>
      </c>
      <c r="S21" s="3"/>
      <c r="T21" s="8">
        <v>641.81756153846197</v>
      </c>
      <c r="U21" s="3"/>
      <c r="V21" s="7">
        <f t="shared" si="5"/>
        <v>0</v>
      </c>
      <c r="W21" s="3"/>
      <c r="X21" s="8">
        <f t="shared" si="6"/>
        <v>1423.792438461538</v>
      </c>
      <c r="Y21" s="3"/>
      <c r="Z21" s="7">
        <f t="shared" si="7"/>
        <v>2.2183756316181991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4446.67</v>
      </c>
      <c r="E22" s="3"/>
      <c r="F22" s="7">
        <f t="shared" si="0"/>
        <v>0</v>
      </c>
      <c r="G22" s="3"/>
      <c r="H22" s="8">
        <v>5336</v>
      </c>
      <c r="I22" s="3"/>
      <c r="J22" s="7">
        <f t="shared" si="1"/>
        <v>0</v>
      </c>
      <c r="K22" s="3"/>
      <c r="L22" s="8">
        <f t="shared" si="2"/>
        <v>-889.32999999999993</v>
      </c>
      <c r="M22" s="3"/>
      <c r="N22" s="7">
        <f t="shared" si="3"/>
        <v>-0.16666604197901047</v>
      </c>
      <c r="O22" s="12"/>
      <c r="P22" s="8">
        <v>37926.71</v>
      </c>
      <c r="Q22" s="3"/>
      <c r="R22" s="7">
        <f t="shared" si="4"/>
        <v>0</v>
      </c>
      <c r="S22" s="3"/>
      <c r="T22" s="8">
        <v>42688</v>
      </c>
      <c r="U22" s="3"/>
      <c r="V22" s="7">
        <f t="shared" si="5"/>
        <v>0</v>
      </c>
      <c r="W22" s="3"/>
      <c r="X22" s="8">
        <f t="shared" si="6"/>
        <v>-4761.2900000000009</v>
      </c>
      <c r="Y22" s="3"/>
      <c r="Z22" s="7">
        <f t="shared" si="7"/>
        <v>-0.11153696589205399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50.12</v>
      </c>
      <c r="E23" s="3"/>
      <c r="F23" s="7">
        <f t="shared" si="0"/>
        <v>0</v>
      </c>
      <c r="G23" s="3"/>
      <c r="H23" s="8">
        <v>49.6891015384615</v>
      </c>
      <c r="I23" s="3"/>
      <c r="J23" s="7">
        <f t="shared" si="1"/>
        <v>0</v>
      </c>
      <c r="K23" s="3"/>
      <c r="L23" s="8">
        <f t="shared" si="2"/>
        <v>0.4308984615384972</v>
      </c>
      <c r="M23" s="3"/>
      <c r="N23" s="7">
        <f t="shared" si="3"/>
        <v>8.6718907808176655E-3</v>
      </c>
      <c r="O23" s="12"/>
      <c r="P23" s="8">
        <v>416.32</v>
      </c>
      <c r="Q23" s="3"/>
      <c r="R23" s="7">
        <f t="shared" si="4"/>
        <v>0</v>
      </c>
      <c r="S23" s="3"/>
      <c r="T23" s="8">
        <v>434.77963846153801</v>
      </c>
      <c r="U23" s="3"/>
      <c r="V23" s="7">
        <f t="shared" si="5"/>
        <v>0</v>
      </c>
      <c r="W23" s="3"/>
      <c r="X23" s="8">
        <f t="shared" si="6"/>
        <v>-18.45963846153802</v>
      </c>
      <c r="Y23" s="3"/>
      <c r="Z23" s="7">
        <f t="shared" si="7"/>
        <v>-4.2457458511298292E-2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1907.46</v>
      </c>
      <c r="E24" s="3"/>
      <c r="F24" s="7">
        <f t="shared" si="0"/>
        <v>0</v>
      </c>
      <c r="G24" s="3"/>
      <c r="H24" s="8">
        <v>1567.18461538462</v>
      </c>
      <c r="I24" s="3"/>
      <c r="J24" s="7">
        <f t="shared" si="1"/>
        <v>0</v>
      </c>
      <c r="K24" s="3"/>
      <c r="L24" s="8">
        <f t="shared" si="2"/>
        <v>340.27538461538006</v>
      </c>
      <c r="M24" s="3"/>
      <c r="N24" s="7">
        <f t="shared" si="3"/>
        <v>0.21712527118693628</v>
      </c>
      <c r="O24" s="12"/>
      <c r="P24" s="8">
        <v>15883.32</v>
      </c>
      <c r="Q24" s="3"/>
      <c r="R24" s="7">
        <f t="shared" si="4"/>
        <v>0</v>
      </c>
      <c r="S24" s="3"/>
      <c r="T24" s="8">
        <v>13712.865384615399</v>
      </c>
      <c r="U24" s="3"/>
      <c r="V24" s="7">
        <f t="shared" si="5"/>
        <v>0</v>
      </c>
      <c r="W24" s="3"/>
      <c r="X24" s="8">
        <f t="shared" si="6"/>
        <v>2170.4546153846004</v>
      </c>
      <c r="Y24" s="3"/>
      <c r="Z24" s="7">
        <f t="shared" si="7"/>
        <v>0.15827870795112267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1493.96</v>
      </c>
      <c r="E26" s="3"/>
      <c r="F26" s="7">
        <f t="shared" si="0"/>
        <v>0</v>
      </c>
      <c r="G26" s="3"/>
      <c r="H26" s="8">
        <v>911.15384615384596</v>
      </c>
      <c r="I26" s="3"/>
      <c r="J26" s="7">
        <f t="shared" si="1"/>
        <v>0</v>
      </c>
      <c r="K26" s="3"/>
      <c r="L26" s="8">
        <f t="shared" si="2"/>
        <v>582.80615384615407</v>
      </c>
      <c r="M26" s="3"/>
      <c r="N26" s="7">
        <f t="shared" si="3"/>
        <v>0.63963528915154111</v>
      </c>
      <c r="O26" s="12"/>
      <c r="P26" s="8">
        <v>12729.91</v>
      </c>
      <c r="Q26" s="3"/>
      <c r="R26" s="7">
        <f t="shared" si="4"/>
        <v>0</v>
      </c>
      <c r="S26" s="3"/>
      <c r="T26" s="8">
        <v>7972.5961538461597</v>
      </c>
      <c r="U26" s="3"/>
      <c r="V26" s="7">
        <f t="shared" si="5"/>
        <v>0</v>
      </c>
      <c r="W26" s="3"/>
      <c r="X26" s="8">
        <f t="shared" si="6"/>
        <v>4757.3138461538401</v>
      </c>
      <c r="Y26" s="3"/>
      <c r="Z26" s="7">
        <f t="shared" si="7"/>
        <v>0.59670824338177531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877.84</v>
      </c>
      <c r="E27" s="3"/>
      <c r="F27" s="7">
        <f t="shared" si="0"/>
        <v>0</v>
      </c>
      <c r="G27" s="3"/>
      <c r="H27" s="8">
        <v>1074.3058461538501</v>
      </c>
      <c r="I27" s="3"/>
      <c r="J27" s="7">
        <f t="shared" si="1"/>
        <v>0</v>
      </c>
      <c r="K27" s="3"/>
      <c r="L27" s="8">
        <f t="shared" si="2"/>
        <v>-196.46584615385007</v>
      </c>
      <c r="M27" s="3"/>
      <c r="N27" s="7">
        <f t="shared" si="3"/>
        <v>-0.18287701482517524</v>
      </c>
      <c r="O27" s="12"/>
      <c r="P27" s="8">
        <v>8204.99</v>
      </c>
      <c r="Q27" s="3"/>
      <c r="R27" s="7">
        <f t="shared" si="4"/>
        <v>0</v>
      </c>
      <c r="S27" s="3"/>
      <c r="T27" s="8">
        <v>9400.1761538461797</v>
      </c>
      <c r="U27" s="3"/>
      <c r="V27" s="7">
        <f t="shared" si="5"/>
        <v>0</v>
      </c>
      <c r="W27" s="3"/>
      <c r="X27" s="8">
        <f t="shared" si="6"/>
        <v>-1195.1861538461799</v>
      </c>
      <c r="Y27" s="3"/>
      <c r="Z27" s="7">
        <f t="shared" si="7"/>
        <v>-0.12714508050544956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357.5</v>
      </c>
      <c r="E28" s="3"/>
      <c r="F28" s="7">
        <f t="shared" si="0"/>
        <v>0</v>
      </c>
      <c r="G28" s="3"/>
      <c r="H28" s="8">
        <v>300</v>
      </c>
      <c r="I28" s="3"/>
      <c r="J28" s="7">
        <f t="shared" si="1"/>
        <v>0</v>
      </c>
      <c r="K28" s="3"/>
      <c r="L28" s="8">
        <f t="shared" si="2"/>
        <v>57.5</v>
      </c>
      <c r="M28" s="3"/>
      <c r="N28" s="7">
        <f t="shared" si="3"/>
        <v>0.19166666666666668</v>
      </c>
      <c r="O28" s="12"/>
      <c r="P28" s="8">
        <v>1820.04</v>
      </c>
      <c r="Q28" s="3"/>
      <c r="R28" s="7">
        <f t="shared" si="4"/>
        <v>0</v>
      </c>
      <c r="S28" s="3"/>
      <c r="T28" s="8">
        <v>2400</v>
      </c>
      <c r="U28" s="3"/>
      <c r="V28" s="7">
        <f t="shared" si="5"/>
        <v>0</v>
      </c>
      <c r="W28" s="3"/>
      <c r="X28" s="8">
        <f t="shared" si="6"/>
        <v>-579.96</v>
      </c>
      <c r="Y28" s="3"/>
      <c r="Z28" s="7">
        <f t="shared" si="7"/>
        <v>-0.24165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18052.18</v>
      </c>
      <c r="E29" s="2"/>
      <c r="F29" s="6">
        <f t="shared" si="0"/>
        <v>0</v>
      </c>
      <c r="G29" s="2"/>
      <c r="H29" s="2">
        <f>SUM(OSRRefH22_1x_0)</f>
        <v>21839.169230769199</v>
      </c>
      <c r="I29" s="2"/>
      <c r="J29" s="6">
        <f t="shared" si="1"/>
        <v>0</v>
      </c>
      <c r="K29" s="2"/>
      <c r="L29" s="2">
        <f t="shared" si="2"/>
        <v>-3786.9892307691989</v>
      </c>
      <c r="M29" s="2"/>
      <c r="N29" s="6">
        <f t="shared" si="3"/>
        <v>-0.17340353887792173</v>
      </c>
      <c r="O29" s="14"/>
      <c r="P29" s="2">
        <f>SUM(OSRRefP22_1x_0)</f>
        <v>151056.18</v>
      </c>
      <c r="Q29" s="2"/>
      <c r="R29" s="6">
        <f t="shared" si="4"/>
        <v>0</v>
      </c>
      <c r="S29" s="2"/>
      <c r="T29" s="2">
        <f>SUM(OSRRefT22_1x_0)</f>
        <v>191092.73076922999</v>
      </c>
      <c r="U29" s="2"/>
      <c r="V29" s="6">
        <f t="shared" si="5"/>
        <v>0</v>
      </c>
      <c r="W29" s="2"/>
      <c r="X29" s="2">
        <f t="shared" si="6"/>
        <v>-40036.550769230002</v>
      </c>
      <c r="Y29" s="2"/>
      <c r="Z29" s="6">
        <f t="shared" si="7"/>
        <v>-0.20951372984239514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8">
        <v>19050.18</v>
      </c>
      <c r="E31" s="3"/>
      <c r="F31" s="7">
        <f t="shared" si="0"/>
        <v>0</v>
      </c>
      <c r="G31" s="3"/>
      <c r="H31" s="8">
        <v>16400.769230769201</v>
      </c>
      <c r="I31" s="3"/>
      <c r="J31" s="7">
        <f t="shared" si="1"/>
        <v>0</v>
      </c>
      <c r="K31" s="3"/>
      <c r="L31" s="8">
        <f t="shared" si="2"/>
        <v>2649.4107692307989</v>
      </c>
      <c r="M31" s="3"/>
      <c r="N31" s="7">
        <f t="shared" si="3"/>
        <v>0.16154186013789432</v>
      </c>
      <c r="O31" s="12"/>
      <c r="P31" s="8">
        <v>151056.18</v>
      </c>
      <c r="Q31" s="3"/>
      <c r="R31" s="7">
        <f t="shared" si="4"/>
        <v>0</v>
      </c>
      <c r="S31" s="3"/>
      <c r="T31" s="8">
        <v>143506.73076922999</v>
      </c>
      <c r="U31" s="3"/>
      <c r="V31" s="7">
        <f t="shared" si="5"/>
        <v>0</v>
      </c>
      <c r="W31" s="3"/>
      <c r="X31" s="8">
        <f t="shared" si="6"/>
        <v>7549.4492307699984</v>
      </c>
      <c r="Y31" s="3"/>
      <c r="Z31" s="7">
        <f t="shared" si="7"/>
        <v>5.2606934812765689E-2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5438.4</v>
      </c>
      <c r="I33" s="3"/>
      <c r="J33" s="7">
        <f t="shared" si="1"/>
        <v>0</v>
      </c>
      <c r="K33" s="3"/>
      <c r="L33" s="8">
        <f t="shared" si="2"/>
        <v>-5438.4</v>
      </c>
      <c r="M33" s="3"/>
      <c r="N33" s="7">
        <f t="shared" si="3"/>
        <v>-1</v>
      </c>
      <c r="O33" s="12"/>
      <c r="P33" s="8"/>
      <c r="Q33" s="3"/>
      <c r="R33" s="7">
        <f t="shared" si="4"/>
        <v>0</v>
      </c>
      <c r="S33" s="3"/>
      <c r="T33" s="8">
        <v>47586</v>
      </c>
      <c r="U33" s="3"/>
      <c r="V33" s="7">
        <f t="shared" si="5"/>
        <v>0</v>
      </c>
      <c r="W33" s="3"/>
      <c r="X33" s="8">
        <f t="shared" si="6"/>
        <v>-47586</v>
      </c>
      <c r="Y33" s="3"/>
      <c r="Z33" s="7">
        <f t="shared" si="7"/>
        <v>-1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>
        <v>-998</v>
      </c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-998</v>
      </c>
      <c r="M36" s="3"/>
      <c r="N36" s="7">
        <f t="shared" si="3"/>
        <v>0</v>
      </c>
      <c r="O36" s="12"/>
      <c r="P36" s="8">
        <v>0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0</v>
      </c>
      <c r="Q40" s="2"/>
      <c r="R40" s="6">
        <f t="shared" si="4"/>
        <v>0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0</v>
      </c>
      <c r="Y40" s="2"/>
      <c r="Z40" s="6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2140.89</v>
      </c>
      <c r="E42" s="2"/>
      <c r="F42" s="6">
        <f t="shared" si="0"/>
        <v>0</v>
      </c>
      <c r="G42" s="2"/>
      <c r="H42" s="2">
        <f>SUM(OSRRefH22_3x_0)</f>
        <v>2099</v>
      </c>
      <c r="I42" s="2"/>
      <c r="J42" s="6">
        <f t="shared" si="1"/>
        <v>0</v>
      </c>
      <c r="K42" s="2"/>
      <c r="L42" s="2">
        <f t="shared" si="2"/>
        <v>41.889999999999873</v>
      </c>
      <c r="M42" s="2"/>
      <c r="N42" s="6">
        <f t="shared" si="3"/>
        <v>1.9957122439256729E-2</v>
      </c>
      <c r="O42" s="14"/>
      <c r="P42" s="2">
        <f>SUM(OSRRefP22_3x_0)</f>
        <v>25999.56</v>
      </c>
      <c r="Q42" s="2"/>
      <c r="R42" s="6">
        <f t="shared" si="4"/>
        <v>0</v>
      </c>
      <c r="S42" s="2"/>
      <c r="T42" s="2">
        <f>SUM(OSRRefT22_3x_0)</f>
        <v>25663</v>
      </c>
      <c r="U42" s="2"/>
      <c r="V42" s="6">
        <f t="shared" si="5"/>
        <v>0</v>
      </c>
      <c r="W42" s="2"/>
      <c r="X42" s="2">
        <f t="shared" si="6"/>
        <v>336.56000000000131</v>
      </c>
      <c r="Y42" s="2"/>
      <c r="Z42" s="6">
        <f t="shared" si="7"/>
        <v>1.3114600787125485E-2</v>
      </c>
    </row>
    <row r="43" spans="1:26" s="70" customFormat="1" ht="15" hidden="1" customHeight="1" outlineLevel="2" x14ac:dyDescent="0.3">
      <c r="A43" s="26"/>
      <c r="B43" s="12" t="str">
        <f>CONCATENATE("          ","6322"," - ","EQUIPMENT DEPRECIATION EXPENSE")</f>
        <v xml:space="preserve">          6322 - EQUIPMENT DEPRECIATION EXPENSE</v>
      </c>
      <c r="C43" s="12"/>
      <c r="D43" s="8">
        <v>2140.89</v>
      </c>
      <c r="E43" s="3"/>
      <c r="F43" s="7">
        <f t="shared" si="0"/>
        <v>0</v>
      </c>
      <c r="G43" s="3"/>
      <c r="H43" s="8">
        <v>1599</v>
      </c>
      <c r="I43" s="3"/>
      <c r="J43" s="7">
        <f t="shared" si="1"/>
        <v>0</v>
      </c>
      <c r="K43" s="3"/>
      <c r="L43" s="8">
        <f t="shared" si="2"/>
        <v>541.88999999999987</v>
      </c>
      <c r="M43" s="3"/>
      <c r="N43" s="7">
        <f t="shared" si="3"/>
        <v>0.33889305816135079</v>
      </c>
      <c r="O43" s="12"/>
      <c r="P43" s="8">
        <v>25999.56</v>
      </c>
      <c r="Q43" s="3"/>
      <c r="R43" s="7">
        <f t="shared" si="4"/>
        <v>0</v>
      </c>
      <c r="S43" s="3"/>
      <c r="T43" s="8">
        <v>21663</v>
      </c>
      <c r="U43" s="3"/>
      <c r="V43" s="7">
        <f t="shared" si="5"/>
        <v>0</v>
      </c>
      <c r="W43" s="3"/>
      <c r="X43" s="8">
        <f t="shared" si="6"/>
        <v>4336.5600000000013</v>
      </c>
      <c r="Y43" s="3"/>
      <c r="Z43" s="7">
        <f t="shared" si="7"/>
        <v>0.20018280016618203</v>
      </c>
    </row>
    <row r="44" spans="1:26" s="70" customFormat="1" ht="15" hidden="1" customHeight="1" outlineLevel="2" x14ac:dyDescent="0.3">
      <c r="A44" s="26"/>
      <c r="B44" s="12" t="str">
        <f>CONCATENATE("          ","6324"," - ","FURNITURE + FIXT DEPRECIATION")</f>
        <v xml:space="preserve">          6324 - FURNITURE + FIXT DEPRECIATION</v>
      </c>
      <c r="C44" s="12"/>
      <c r="D44" s="8"/>
      <c r="E44" s="3"/>
      <c r="F44" s="7">
        <f t="shared" si="0"/>
        <v>0</v>
      </c>
      <c r="G44" s="3"/>
      <c r="H44" s="8">
        <v>500</v>
      </c>
      <c r="I44" s="3"/>
      <c r="J44" s="7">
        <f t="shared" si="1"/>
        <v>0</v>
      </c>
      <c r="K44" s="3"/>
      <c r="L44" s="8">
        <f t="shared" si="2"/>
        <v>-500</v>
      </c>
      <c r="M44" s="3"/>
      <c r="N44" s="7">
        <f t="shared" si="3"/>
        <v>-1</v>
      </c>
      <c r="O44" s="12"/>
      <c r="P44" s="8"/>
      <c r="Q44" s="3"/>
      <c r="R44" s="7">
        <f t="shared" si="4"/>
        <v>0</v>
      </c>
      <c r="S44" s="3"/>
      <c r="T44" s="8">
        <v>4000</v>
      </c>
      <c r="U44" s="3"/>
      <c r="V44" s="7">
        <f t="shared" si="5"/>
        <v>0</v>
      </c>
      <c r="W44" s="3"/>
      <c r="X44" s="8">
        <f t="shared" si="6"/>
        <v>-4000</v>
      </c>
      <c r="Y44" s="3"/>
      <c r="Z44" s="7">
        <f t="shared" si="7"/>
        <v>-1</v>
      </c>
    </row>
    <row r="45" spans="1:26" s="69" customFormat="1" ht="15" customHeight="1" outlineLevel="1" collapsed="1" x14ac:dyDescent="0.3">
      <c r="A45" s="25"/>
      <c r="B45" s="14" t="str">
        <f>CONCATENATE("     ","Insurance                                         ")</f>
        <v xml:space="preserve">     Insurance                                         </v>
      </c>
      <c r="C45" s="14"/>
      <c r="D45" s="2">
        <f>SUM(OSRRefD22_4x_0)</f>
        <v>76.569999999999993</v>
      </c>
      <c r="E45" s="2"/>
      <c r="F45" s="6">
        <f t="shared" si="0"/>
        <v>0</v>
      </c>
      <c r="G45" s="2"/>
      <c r="H45" s="2">
        <f>SUM(OSRRefH22_4x_0)</f>
        <v>75</v>
      </c>
      <c r="I45" s="2"/>
      <c r="J45" s="6">
        <f t="shared" si="1"/>
        <v>0</v>
      </c>
      <c r="K45" s="2"/>
      <c r="L45" s="2">
        <f t="shared" si="2"/>
        <v>1.5699999999999932</v>
      </c>
      <c r="M45" s="2"/>
      <c r="N45" s="6">
        <f t="shared" si="3"/>
        <v>2.0933333333333241E-2</v>
      </c>
      <c r="O45" s="14"/>
      <c r="P45" s="2">
        <f>SUM(OSRRefP22_4x_0)</f>
        <v>612.55999999999995</v>
      </c>
      <c r="Q45" s="2"/>
      <c r="R45" s="6">
        <f t="shared" si="4"/>
        <v>0</v>
      </c>
      <c r="S45" s="2"/>
      <c r="T45" s="2">
        <f>SUM(OSRRefT22_4x_0)</f>
        <v>600</v>
      </c>
      <c r="U45" s="2"/>
      <c r="V45" s="6">
        <f t="shared" si="5"/>
        <v>0</v>
      </c>
      <c r="W45" s="2"/>
      <c r="X45" s="2">
        <f t="shared" si="6"/>
        <v>12.559999999999945</v>
      </c>
      <c r="Y45" s="2"/>
      <c r="Z45" s="6">
        <f t="shared" si="7"/>
        <v>2.0933333333333241E-2</v>
      </c>
    </row>
    <row r="46" spans="1:26" s="70" customFormat="1" ht="15" hidden="1" customHeight="1" outlineLevel="2" x14ac:dyDescent="0.3">
      <c r="A46" s="26"/>
      <c r="B46" s="12" t="str">
        <f>CONCATENATE("          ","6314"," - ","LIABILITY INSURANCE")</f>
        <v xml:space="preserve">          6314 - LIABILITY INSURANCE</v>
      </c>
      <c r="C46" s="12"/>
      <c r="D46" s="8">
        <v>76.569999999999993</v>
      </c>
      <c r="E46" s="3"/>
      <c r="F46" s="7">
        <f t="shared" si="0"/>
        <v>0</v>
      </c>
      <c r="G46" s="3"/>
      <c r="H46" s="8">
        <v>75</v>
      </c>
      <c r="I46" s="3"/>
      <c r="J46" s="7">
        <f t="shared" si="1"/>
        <v>0</v>
      </c>
      <c r="K46" s="3"/>
      <c r="L46" s="8">
        <f t="shared" si="2"/>
        <v>1.5699999999999932</v>
      </c>
      <c r="M46" s="3"/>
      <c r="N46" s="7">
        <f t="shared" si="3"/>
        <v>2.0933333333333241E-2</v>
      </c>
      <c r="O46" s="12"/>
      <c r="P46" s="8">
        <v>612.55999999999995</v>
      </c>
      <c r="Q46" s="3"/>
      <c r="R46" s="7">
        <f t="shared" si="4"/>
        <v>0</v>
      </c>
      <c r="S46" s="3"/>
      <c r="T46" s="8">
        <v>600</v>
      </c>
      <c r="U46" s="3"/>
      <c r="V46" s="7">
        <f t="shared" si="5"/>
        <v>0</v>
      </c>
      <c r="W46" s="3"/>
      <c r="X46" s="8">
        <f t="shared" si="6"/>
        <v>12.559999999999945</v>
      </c>
      <c r="Y46" s="3"/>
      <c r="Z46" s="7">
        <f t="shared" si="7"/>
        <v>2.0933333333333241E-2</v>
      </c>
    </row>
    <row r="47" spans="1:26" s="69" customFormat="1" ht="15" customHeight="1" outlineLevel="1" collapsed="1" x14ac:dyDescent="0.3">
      <c r="A47" s="25"/>
      <c r="B47" s="14" t="str">
        <f>CONCATENATE("     ","Repair and Maintenance                            ")</f>
        <v xml:space="preserve">     Repair and Maintenance                            </v>
      </c>
      <c r="C47" s="14"/>
      <c r="D47" s="2">
        <f>SUM(OSRRefD22_5x_0)</f>
        <v>9666.8700000000008</v>
      </c>
      <c r="E47" s="2"/>
      <c r="F47" s="6">
        <f t="shared" si="0"/>
        <v>0</v>
      </c>
      <c r="G47" s="2"/>
      <c r="H47" s="2">
        <f>SUM(OSRRefH22_5x_0)</f>
        <v>10467</v>
      </c>
      <c r="I47" s="2"/>
      <c r="J47" s="6">
        <f t="shared" si="1"/>
        <v>0</v>
      </c>
      <c r="K47" s="2"/>
      <c r="L47" s="2">
        <f t="shared" si="2"/>
        <v>-800.1299999999992</v>
      </c>
      <c r="M47" s="2"/>
      <c r="N47" s="6">
        <f t="shared" si="3"/>
        <v>-7.6443106907423258E-2</v>
      </c>
      <c r="O47" s="14"/>
      <c r="P47" s="2">
        <f>SUM(OSRRefP22_5x_0)</f>
        <v>80259.05</v>
      </c>
      <c r="Q47" s="2"/>
      <c r="R47" s="6">
        <f t="shared" si="4"/>
        <v>0</v>
      </c>
      <c r="S47" s="2"/>
      <c r="T47" s="2">
        <f>SUM(OSRRefT22_5x_0)</f>
        <v>86736</v>
      </c>
      <c r="U47" s="2"/>
      <c r="V47" s="6">
        <f t="shared" si="5"/>
        <v>0</v>
      </c>
      <c r="W47" s="2"/>
      <c r="X47" s="2">
        <f t="shared" si="6"/>
        <v>-6476.9499999999971</v>
      </c>
      <c r="Y47" s="2"/>
      <c r="Z47" s="6">
        <f t="shared" si="7"/>
        <v>-7.4674299022320575E-2</v>
      </c>
    </row>
    <row r="48" spans="1:26" s="70" customFormat="1" ht="15" hidden="1" customHeight="1" outlineLevel="2" x14ac:dyDescent="0.3">
      <c r="A48" s="26"/>
      <c r="B48" s="12" t="str">
        <f>CONCATENATE("          ","6371"," - ","COMPUTER SOFTWARE MAINTENANCE")</f>
        <v xml:space="preserve">          6371 - COMPUTER SOFTWARE MAINTENANCE</v>
      </c>
      <c r="C48" s="12"/>
      <c r="D48" s="8">
        <v>200.87</v>
      </c>
      <c r="E48" s="3"/>
      <c r="F48" s="7">
        <f t="shared" si="0"/>
        <v>0</v>
      </c>
      <c r="G48" s="3"/>
      <c r="H48" s="8">
        <v>1000</v>
      </c>
      <c r="I48" s="3"/>
      <c r="J48" s="7">
        <f t="shared" si="1"/>
        <v>0</v>
      </c>
      <c r="K48" s="3"/>
      <c r="L48" s="8">
        <f t="shared" si="2"/>
        <v>-799.13</v>
      </c>
      <c r="M48" s="3"/>
      <c r="N48" s="7">
        <f t="shared" si="3"/>
        <v>-0.79913000000000001</v>
      </c>
      <c r="O48" s="12"/>
      <c r="P48" s="8">
        <v>2093.8200000000002</v>
      </c>
      <c r="Q48" s="3"/>
      <c r="R48" s="7">
        <f t="shared" si="4"/>
        <v>0</v>
      </c>
      <c r="S48" s="3"/>
      <c r="T48" s="8">
        <v>8000</v>
      </c>
      <c r="U48" s="3"/>
      <c r="V48" s="7">
        <f t="shared" si="5"/>
        <v>0</v>
      </c>
      <c r="W48" s="3"/>
      <c r="X48" s="8">
        <f t="shared" si="6"/>
        <v>-5906.18</v>
      </c>
      <c r="Y48" s="3"/>
      <c r="Z48" s="7">
        <f t="shared" si="7"/>
        <v>-0.7382725</v>
      </c>
    </row>
    <row r="49" spans="1:26" s="70" customFormat="1" ht="15" hidden="1" customHeight="1" outlineLevel="2" x14ac:dyDescent="0.3">
      <c r="A49" s="26"/>
      <c r="B49" s="12" t="str">
        <f>CONCATENATE("          ","6372"," - ","COMPUTER HARDWARE MAINTENANCE")</f>
        <v xml:space="preserve">          6372 - COMPUTER HARDWARE MAINTENANCE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4760.47</v>
      </c>
      <c r="Q49" s="3"/>
      <c r="R49" s="7">
        <f t="shared" si="4"/>
        <v>0</v>
      </c>
      <c r="S49" s="3"/>
      <c r="T49" s="8">
        <v>3000</v>
      </c>
      <c r="U49" s="3"/>
      <c r="V49" s="7">
        <f t="shared" si="5"/>
        <v>0</v>
      </c>
      <c r="W49" s="3"/>
      <c r="X49" s="8">
        <f t="shared" si="6"/>
        <v>1760.4700000000003</v>
      </c>
      <c r="Y49" s="3"/>
      <c r="Z49" s="7">
        <f t="shared" si="7"/>
        <v>0.58682333333333336</v>
      </c>
    </row>
    <row r="50" spans="1:26" s="70" customFormat="1" ht="15" hidden="1" customHeight="1" outlineLevel="2" x14ac:dyDescent="0.3">
      <c r="A50" s="26"/>
      <c r="B50" s="12" t="str">
        <f>CONCATENATE("          ","6373"," - ","MAINTENANCE CONTRACTS")</f>
        <v xml:space="preserve">          6373 - MAINTENANCE CONTRACTS</v>
      </c>
      <c r="C50" s="12"/>
      <c r="D50" s="8">
        <v>9466</v>
      </c>
      <c r="E50" s="3"/>
      <c r="F50" s="7">
        <f t="shared" si="0"/>
        <v>0</v>
      </c>
      <c r="G50" s="3"/>
      <c r="H50" s="8">
        <v>9467</v>
      </c>
      <c r="I50" s="3"/>
      <c r="J50" s="7">
        <f t="shared" si="1"/>
        <v>0</v>
      </c>
      <c r="K50" s="3"/>
      <c r="L50" s="8">
        <f t="shared" si="2"/>
        <v>-1</v>
      </c>
      <c r="M50" s="3"/>
      <c r="N50" s="7">
        <f t="shared" si="3"/>
        <v>-1.0563008344776593E-4</v>
      </c>
      <c r="O50" s="12"/>
      <c r="P50" s="8">
        <v>73357.240000000005</v>
      </c>
      <c r="Q50" s="3"/>
      <c r="R50" s="7">
        <f t="shared" si="4"/>
        <v>0</v>
      </c>
      <c r="S50" s="3"/>
      <c r="T50" s="8">
        <v>75736</v>
      </c>
      <c r="U50" s="3"/>
      <c r="V50" s="7">
        <f t="shared" si="5"/>
        <v>0</v>
      </c>
      <c r="W50" s="3"/>
      <c r="X50" s="8">
        <f t="shared" si="6"/>
        <v>-2378.7599999999948</v>
      </c>
      <c r="Y50" s="3"/>
      <c r="Z50" s="7">
        <f t="shared" si="7"/>
        <v>-3.140857716277589E-2</v>
      </c>
    </row>
    <row r="51" spans="1:26" s="70" customFormat="1" ht="15" hidden="1" customHeight="1" outlineLevel="2" x14ac:dyDescent="0.3">
      <c r="A51" s="26"/>
      <c r="B51" s="12" t="str">
        <f>CONCATENATE("          ","6375"," - ","OUTSIDE REPAIRS &amp; MAINTENANCE")</f>
        <v xml:space="preserve">          6375 - OUTSIDE REPAIRS &amp; MAINTENANCE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47.52</v>
      </c>
      <c r="Q51" s="3"/>
      <c r="R51" s="7">
        <f t="shared" si="4"/>
        <v>0</v>
      </c>
      <c r="S51" s="3"/>
      <c r="T51" s="8"/>
      <c r="U51" s="3"/>
      <c r="V51" s="7">
        <f t="shared" si="5"/>
        <v>0</v>
      </c>
      <c r="W51" s="3"/>
      <c r="X51" s="8">
        <f t="shared" si="6"/>
        <v>47.52</v>
      </c>
      <c r="Y51" s="3"/>
      <c r="Z51" s="7">
        <f t="shared" si="7"/>
        <v>0</v>
      </c>
    </row>
    <row r="52" spans="1:26" s="69" customFormat="1" ht="15" customHeight="1" outlineLevel="1" collapsed="1" x14ac:dyDescent="0.3">
      <c r="A52" s="25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SUM(OSRRefD22_6x_0)</f>
        <v>0</v>
      </c>
      <c r="E52" s="2"/>
      <c r="F52" s="6">
        <f t="shared" si="0"/>
        <v>0</v>
      </c>
      <c r="G52" s="2"/>
      <c r="H52" s="2">
        <f>SUM(OSRRefH22_6x_0)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SUM(OSRRefP22_6x_0)</f>
        <v>0</v>
      </c>
      <c r="Q52" s="2"/>
      <c r="R52" s="6">
        <f t="shared" si="4"/>
        <v>0</v>
      </c>
      <c r="S52" s="2"/>
      <c r="T52" s="2">
        <f>SUM(OSRRefT22_6x_0)</f>
        <v>850</v>
      </c>
      <c r="U52" s="2"/>
      <c r="V52" s="6">
        <f t="shared" si="5"/>
        <v>0</v>
      </c>
      <c r="W52" s="2"/>
      <c r="X52" s="2">
        <f t="shared" si="6"/>
        <v>-850</v>
      </c>
      <c r="Y52" s="2"/>
      <c r="Z52" s="6">
        <f t="shared" si="7"/>
        <v>-1</v>
      </c>
    </row>
    <row r="53" spans="1:26" s="70" customFormat="1" ht="15" hidden="1" customHeight="1" outlineLevel="2" x14ac:dyDescent="0.3">
      <c r="A53" s="26"/>
      <c r="B53" s="12" t="str">
        <f>CONCATENATE("          ","6258"," - ","MEMBERSHIP DUES")</f>
        <v xml:space="preserve">          6258 - MEMBERSHIP DUES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/>
      <c r="Q53" s="3"/>
      <c r="R53" s="7">
        <f t="shared" si="4"/>
        <v>0</v>
      </c>
      <c r="S53" s="3"/>
      <c r="T53" s="8">
        <v>250</v>
      </c>
      <c r="U53" s="3"/>
      <c r="V53" s="7">
        <f t="shared" si="5"/>
        <v>0</v>
      </c>
      <c r="W53" s="3"/>
      <c r="X53" s="8">
        <f t="shared" si="6"/>
        <v>-250</v>
      </c>
      <c r="Y53" s="3"/>
      <c r="Z53" s="7">
        <f t="shared" si="7"/>
        <v>-1</v>
      </c>
    </row>
    <row r="54" spans="1:26" s="70" customFormat="1" ht="15" hidden="1" customHeight="1" outlineLevel="2" x14ac:dyDescent="0.3">
      <c r="A54" s="26"/>
      <c r="B54" s="12" t="str">
        <f>CONCATENATE("          ","6275"," - ","SUBSCRIPTIONS")</f>
        <v xml:space="preserve">          6275 - SUBSCRIPTIONS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/>
      <c r="Q54" s="3"/>
      <c r="R54" s="7">
        <f t="shared" si="4"/>
        <v>0</v>
      </c>
      <c r="S54" s="3"/>
      <c r="T54" s="8">
        <v>600</v>
      </c>
      <c r="U54" s="3"/>
      <c r="V54" s="7">
        <f t="shared" si="5"/>
        <v>0</v>
      </c>
      <c r="W54" s="3"/>
      <c r="X54" s="8">
        <f t="shared" si="6"/>
        <v>-600</v>
      </c>
      <c r="Y54" s="3"/>
      <c r="Z54" s="7">
        <f t="shared" si="7"/>
        <v>-1</v>
      </c>
    </row>
    <row r="55" spans="1:26" s="69" customFormat="1" ht="15" customHeight="1" outlineLevel="1" collapsed="1" x14ac:dyDescent="0.3">
      <c r="A55" s="25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SUM(OSRRefD22_7x_0)</f>
        <v>15484.97</v>
      </c>
      <c r="E55" s="2"/>
      <c r="F55" s="6">
        <f t="shared" si="0"/>
        <v>0</v>
      </c>
      <c r="G55" s="2"/>
      <c r="H55" s="2">
        <f>SUM(OSRRefH22_7x_0)</f>
        <v>100</v>
      </c>
      <c r="I55" s="2"/>
      <c r="J55" s="6">
        <f t="shared" si="1"/>
        <v>0</v>
      </c>
      <c r="K55" s="2"/>
      <c r="L55" s="2">
        <f t="shared" si="2"/>
        <v>15384.97</v>
      </c>
      <c r="M55" s="2"/>
      <c r="N55" s="6">
        <f t="shared" si="3"/>
        <v>153.84969999999998</v>
      </c>
      <c r="O55" s="14"/>
      <c r="P55" s="2">
        <f>SUM(OSRRefP22_7x_0)</f>
        <v>19894.23</v>
      </c>
      <c r="Q55" s="2"/>
      <c r="R55" s="6">
        <f t="shared" si="4"/>
        <v>0</v>
      </c>
      <c r="S55" s="2"/>
      <c r="T55" s="2">
        <f>SUM(OSRRefT22_7x_0)</f>
        <v>800</v>
      </c>
      <c r="U55" s="2"/>
      <c r="V55" s="6">
        <f t="shared" si="5"/>
        <v>0</v>
      </c>
      <c r="W55" s="2"/>
      <c r="X55" s="2">
        <f t="shared" si="6"/>
        <v>19094.23</v>
      </c>
      <c r="Y55" s="2"/>
      <c r="Z55" s="6">
        <f t="shared" si="7"/>
        <v>23.867787499999999</v>
      </c>
    </row>
    <row r="56" spans="1:26" s="70" customFormat="1" ht="15" hidden="1" customHeight="1" outlineLevel="2" x14ac:dyDescent="0.3">
      <c r="A56" s="26"/>
      <c r="B56" s="12" t="str">
        <f>CONCATENATE("          ","6241"," - ","OFFICE EXPENSE")</f>
        <v xml:space="preserve">          6241 - OFFICE EXPENSE</v>
      </c>
      <c r="C56" s="12"/>
      <c r="D56" s="8">
        <v>15484.97</v>
      </c>
      <c r="E56" s="3"/>
      <c r="F56" s="7">
        <f t="shared" si="0"/>
        <v>0</v>
      </c>
      <c r="G56" s="3"/>
      <c r="H56" s="8">
        <v>100</v>
      </c>
      <c r="I56" s="3"/>
      <c r="J56" s="7">
        <f t="shared" si="1"/>
        <v>0</v>
      </c>
      <c r="K56" s="3"/>
      <c r="L56" s="8">
        <f t="shared" si="2"/>
        <v>15384.97</v>
      </c>
      <c r="M56" s="3"/>
      <c r="N56" s="7">
        <f t="shared" si="3"/>
        <v>153.84969999999998</v>
      </c>
      <c r="O56" s="12"/>
      <c r="P56" s="8">
        <v>19894.23</v>
      </c>
      <c r="Q56" s="3"/>
      <c r="R56" s="7">
        <f t="shared" si="4"/>
        <v>0</v>
      </c>
      <c r="S56" s="3"/>
      <c r="T56" s="8">
        <v>800</v>
      </c>
      <c r="U56" s="3"/>
      <c r="V56" s="7">
        <f t="shared" si="5"/>
        <v>0</v>
      </c>
      <c r="W56" s="3"/>
      <c r="X56" s="8">
        <f t="shared" si="6"/>
        <v>19094.23</v>
      </c>
      <c r="Y56" s="3"/>
      <c r="Z56" s="7">
        <f t="shared" si="7"/>
        <v>23.867787499999999</v>
      </c>
    </row>
    <row r="57" spans="1:26" s="69" customFormat="1" ht="15" customHeight="1" outlineLevel="1" collapsed="1" x14ac:dyDescent="0.3">
      <c r="A57" s="25"/>
      <c r="B57" s="14" t="str">
        <f>CONCATENATE("     ","Telephone/Data Lines                              ")</f>
        <v xml:space="preserve">     Telephone/Data Lines                              </v>
      </c>
      <c r="C57" s="14"/>
      <c r="D57" s="2">
        <f>SUM(OSRRefD22_8x_0)</f>
        <v>925.22</v>
      </c>
      <c r="E57" s="2"/>
      <c r="F57" s="6">
        <f t="shared" si="0"/>
        <v>0</v>
      </c>
      <c r="G57" s="2"/>
      <c r="H57" s="2">
        <f>SUM(OSRRefH22_8x_0)</f>
        <v>500</v>
      </c>
      <c r="I57" s="2"/>
      <c r="J57" s="6">
        <f t="shared" si="1"/>
        <v>0</v>
      </c>
      <c r="K57" s="2"/>
      <c r="L57" s="2">
        <f t="shared" si="2"/>
        <v>425.22</v>
      </c>
      <c r="M57" s="2"/>
      <c r="N57" s="6">
        <f t="shared" si="3"/>
        <v>0.85044000000000008</v>
      </c>
      <c r="O57" s="14"/>
      <c r="P57" s="2">
        <f>SUM(OSRRefP22_8x_0)</f>
        <v>6670.9400000000005</v>
      </c>
      <c r="Q57" s="2"/>
      <c r="R57" s="6">
        <f t="shared" si="4"/>
        <v>0</v>
      </c>
      <c r="S57" s="2"/>
      <c r="T57" s="2">
        <f>SUM(OSRRefT22_8x_0)</f>
        <v>4000</v>
      </c>
      <c r="U57" s="2"/>
      <c r="V57" s="6">
        <f t="shared" si="5"/>
        <v>0</v>
      </c>
      <c r="W57" s="2"/>
      <c r="X57" s="2">
        <f t="shared" si="6"/>
        <v>2670.9400000000005</v>
      </c>
      <c r="Y57" s="2"/>
      <c r="Z57" s="6">
        <f t="shared" si="7"/>
        <v>0.66773500000000008</v>
      </c>
    </row>
    <row r="58" spans="1:26" s="70" customFormat="1" ht="15" hidden="1" customHeight="1" outlineLevel="2" x14ac:dyDescent="0.3">
      <c r="A58" s="26"/>
      <c r="B58" s="12" t="str">
        <f>CONCATENATE("          ","6303"," - ","DATA PHONE LINES")</f>
        <v xml:space="preserve">          6303 - DATA PHONE LINES</v>
      </c>
      <c r="C58" s="12"/>
      <c r="D58" s="8">
        <v>260.97000000000003</v>
      </c>
      <c r="E58" s="3"/>
      <c r="F58" s="7">
        <f t="shared" si="0"/>
        <v>0</v>
      </c>
      <c r="G58" s="3"/>
      <c r="H58" s="8">
        <v>200</v>
      </c>
      <c r="I58" s="3"/>
      <c r="J58" s="7">
        <f t="shared" si="1"/>
        <v>0</v>
      </c>
      <c r="K58" s="3"/>
      <c r="L58" s="8">
        <f t="shared" si="2"/>
        <v>60.970000000000027</v>
      </c>
      <c r="M58" s="3"/>
      <c r="N58" s="7">
        <f t="shared" si="3"/>
        <v>0.30485000000000012</v>
      </c>
      <c r="O58" s="12"/>
      <c r="P58" s="8">
        <v>1342.84</v>
      </c>
      <c r="Q58" s="3"/>
      <c r="R58" s="7">
        <f t="shared" si="4"/>
        <v>0</v>
      </c>
      <c r="S58" s="3"/>
      <c r="T58" s="8">
        <v>1600</v>
      </c>
      <c r="U58" s="3"/>
      <c r="V58" s="7">
        <f t="shared" si="5"/>
        <v>0</v>
      </c>
      <c r="W58" s="3"/>
      <c r="X58" s="8">
        <f t="shared" si="6"/>
        <v>-257.16000000000008</v>
      </c>
      <c r="Y58" s="3"/>
      <c r="Z58" s="7">
        <f t="shared" si="7"/>
        <v>-0.16072500000000006</v>
      </c>
    </row>
    <row r="59" spans="1:26" s="70" customFormat="1" ht="15" hidden="1" customHeight="1" outlineLevel="2" x14ac:dyDescent="0.3">
      <c r="A59" s="26"/>
      <c r="B59" s="12" t="str">
        <f>CONCATENATE("          ","6309"," - ","TELEPHONE")</f>
        <v xml:space="preserve">          6309 - TELEPHONE</v>
      </c>
      <c r="C59" s="12"/>
      <c r="D59" s="8">
        <v>664.25</v>
      </c>
      <c r="E59" s="3"/>
      <c r="F59" s="7">
        <f t="shared" si="0"/>
        <v>0</v>
      </c>
      <c r="G59" s="3"/>
      <c r="H59" s="8">
        <v>300</v>
      </c>
      <c r="I59" s="3"/>
      <c r="J59" s="7">
        <f t="shared" si="1"/>
        <v>0</v>
      </c>
      <c r="K59" s="3"/>
      <c r="L59" s="8">
        <f t="shared" si="2"/>
        <v>364.25</v>
      </c>
      <c r="M59" s="3"/>
      <c r="N59" s="7">
        <f t="shared" si="3"/>
        <v>1.2141666666666666</v>
      </c>
      <c r="O59" s="12"/>
      <c r="P59" s="8">
        <v>5328.1</v>
      </c>
      <c r="Q59" s="3"/>
      <c r="R59" s="7">
        <f t="shared" si="4"/>
        <v>0</v>
      </c>
      <c r="S59" s="3"/>
      <c r="T59" s="8">
        <v>2400</v>
      </c>
      <c r="U59" s="3"/>
      <c r="V59" s="7">
        <f t="shared" si="5"/>
        <v>0</v>
      </c>
      <c r="W59" s="3"/>
      <c r="X59" s="8">
        <f t="shared" si="6"/>
        <v>2928.1000000000004</v>
      </c>
      <c r="Y59" s="3"/>
      <c r="Z59" s="7">
        <f t="shared" si="7"/>
        <v>1.2200416666666669</v>
      </c>
    </row>
    <row r="60" spans="1:26" s="69" customFormat="1" ht="15" customHeight="1" outlineLevel="1" collapsed="1" x14ac:dyDescent="0.3">
      <c r="A60" s="25"/>
      <c r="B60" s="14" t="str">
        <f>CONCATENATE("     ","Training                                          ")</f>
        <v xml:space="preserve">     Training                                          </v>
      </c>
      <c r="C60" s="14"/>
      <c r="D60" s="2">
        <f>SUM(OSRRefD22_9x_0)</f>
        <v>0</v>
      </c>
      <c r="E60" s="2"/>
      <c r="F60" s="6">
        <f t="shared" si="0"/>
        <v>0</v>
      </c>
      <c r="G60" s="2"/>
      <c r="H60" s="2">
        <f>SUM(OSRRefH22_9x_0)</f>
        <v>0</v>
      </c>
      <c r="I60" s="2"/>
      <c r="J60" s="6">
        <f t="shared" si="1"/>
        <v>0</v>
      </c>
      <c r="K60" s="2"/>
      <c r="L60" s="2">
        <f t="shared" si="2"/>
        <v>0</v>
      </c>
      <c r="M60" s="2"/>
      <c r="N60" s="6">
        <f t="shared" si="3"/>
        <v>0</v>
      </c>
      <c r="O60" s="14"/>
      <c r="P60" s="2">
        <f>SUM(OSRRefP22_9x_0)</f>
        <v>99</v>
      </c>
      <c r="Q60" s="2"/>
      <c r="R60" s="6">
        <f t="shared" si="4"/>
        <v>0</v>
      </c>
      <c r="S60" s="2"/>
      <c r="T60" s="2">
        <f>SUM(OSRRefT22_9x_0)</f>
        <v>0</v>
      </c>
      <c r="U60" s="2"/>
      <c r="V60" s="6">
        <f t="shared" si="5"/>
        <v>0</v>
      </c>
      <c r="W60" s="2"/>
      <c r="X60" s="2">
        <f t="shared" si="6"/>
        <v>99</v>
      </c>
      <c r="Y60" s="2"/>
      <c r="Z60" s="6">
        <f t="shared" si="7"/>
        <v>0</v>
      </c>
    </row>
    <row r="61" spans="1:26" s="70" customFormat="1" ht="15" hidden="1" customHeight="1" outlineLevel="2" x14ac:dyDescent="0.3">
      <c r="A61" s="26"/>
      <c r="B61" s="12" t="str">
        <f>CONCATENATE("          ","6376"," - ","TRAINING")</f>
        <v xml:space="preserve">          6376 - TRAINING</v>
      </c>
      <c r="C61" s="12"/>
      <c r="D61" s="8"/>
      <c r="E61" s="3"/>
      <c r="F61" s="7">
        <f t="shared" si="0"/>
        <v>0</v>
      </c>
      <c r="G61" s="3"/>
      <c r="H61" s="8"/>
      <c r="I61" s="3"/>
      <c r="J61" s="7">
        <f t="shared" si="1"/>
        <v>0</v>
      </c>
      <c r="K61" s="3"/>
      <c r="L61" s="8">
        <f t="shared" si="2"/>
        <v>0</v>
      </c>
      <c r="M61" s="3"/>
      <c r="N61" s="7">
        <f t="shared" si="3"/>
        <v>0</v>
      </c>
      <c r="O61" s="12"/>
      <c r="P61" s="8">
        <v>99</v>
      </c>
      <c r="Q61" s="3"/>
      <c r="R61" s="7">
        <f t="shared" si="4"/>
        <v>0</v>
      </c>
      <c r="S61" s="3"/>
      <c r="T61" s="8"/>
      <c r="U61" s="3"/>
      <c r="V61" s="7">
        <f t="shared" si="5"/>
        <v>0</v>
      </c>
      <c r="W61" s="3"/>
      <c r="X61" s="8">
        <f t="shared" si="6"/>
        <v>99</v>
      </c>
      <c r="Y61" s="3"/>
      <c r="Z61" s="7">
        <f t="shared" si="7"/>
        <v>0</v>
      </c>
    </row>
    <row r="62" spans="1:26" s="69" customFormat="1" ht="15" customHeight="1" outlineLevel="1" collapsed="1" x14ac:dyDescent="0.3">
      <c r="A62" s="25"/>
      <c r="B62" s="14" t="str">
        <f>CONCATENATE("     ","Travel                                            ")</f>
        <v xml:space="preserve">     Travel                                            </v>
      </c>
      <c r="C62" s="14"/>
      <c r="D62" s="2">
        <f>SUM(OSRRefD22_10x_0)</f>
        <v>0</v>
      </c>
      <c r="E62" s="2"/>
      <c r="F62" s="6">
        <f t="shared" si="0"/>
        <v>0</v>
      </c>
      <c r="G62" s="2"/>
      <c r="H62" s="2">
        <f>SUM(OSRRefH22_10x_0)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SUM(OSRRefP22_10x_0)</f>
        <v>0</v>
      </c>
      <c r="Q62" s="2"/>
      <c r="R62" s="6">
        <f t="shared" si="4"/>
        <v>0</v>
      </c>
      <c r="S62" s="2"/>
      <c r="T62" s="2">
        <f>SUM(OSRRefT22_10x_0)</f>
        <v>5500</v>
      </c>
      <c r="U62" s="2"/>
      <c r="V62" s="6">
        <f t="shared" si="5"/>
        <v>0</v>
      </c>
      <c r="W62" s="2"/>
      <c r="X62" s="2">
        <f t="shared" si="6"/>
        <v>-5500</v>
      </c>
      <c r="Y62" s="2"/>
      <c r="Z62" s="6">
        <f t="shared" si="7"/>
        <v>-1</v>
      </c>
    </row>
    <row r="63" spans="1:26" s="70" customFormat="1" ht="15" hidden="1" customHeight="1" outlineLevel="2" x14ac:dyDescent="0.3">
      <c r="A63" s="26"/>
      <c r="B63" s="12" t="str">
        <f>CONCATENATE("          ","6292"," - ","TRAVEL/CONFERENCE")</f>
        <v xml:space="preserve">          6292 - TRAVEL/CONFERENCE</v>
      </c>
      <c r="C63" s="12"/>
      <c r="D63" s="8"/>
      <c r="E63" s="3"/>
      <c r="F63" s="7">
        <f t="shared" si="0"/>
        <v>0</v>
      </c>
      <c r="G63" s="3"/>
      <c r="H63" s="8"/>
      <c r="I63" s="3"/>
      <c r="J63" s="7">
        <f t="shared" si="1"/>
        <v>0</v>
      </c>
      <c r="K63" s="3"/>
      <c r="L63" s="8">
        <f t="shared" si="2"/>
        <v>0</v>
      </c>
      <c r="M63" s="3"/>
      <c r="N63" s="7">
        <f t="shared" si="3"/>
        <v>0</v>
      </c>
      <c r="O63" s="12"/>
      <c r="P63" s="8">
        <v>0</v>
      </c>
      <c r="Q63" s="3"/>
      <c r="R63" s="7">
        <f t="shared" si="4"/>
        <v>0</v>
      </c>
      <c r="S63" s="3"/>
      <c r="T63" s="8">
        <v>5500</v>
      </c>
      <c r="U63" s="3"/>
      <c r="V63" s="7">
        <f t="shared" si="5"/>
        <v>0</v>
      </c>
      <c r="W63" s="3"/>
      <c r="X63" s="8">
        <f t="shared" si="6"/>
        <v>-5500</v>
      </c>
      <c r="Y63" s="3"/>
      <c r="Z63" s="7">
        <f t="shared" si="7"/>
        <v>-1</v>
      </c>
    </row>
    <row r="64" spans="1:26" s="65" customFormat="1" ht="15" customHeight="1" x14ac:dyDescent="0.3">
      <c r="A64" s="35"/>
      <c r="B64" s="35"/>
      <c r="C64" s="35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5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3" customFormat="1" ht="15" customHeight="1" x14ac:dyDescent="0.3">
      <c r="A65" s="11"/>
      <c r="B65" s="27" t="s">
        <v>291</v>
      </c>
      <c r="C65" s="11"/>
      <c r="D65" s="5">
        <f>SUM(0)</f>
        <v>0</v>
      </c>
      <c r="E65" s="5"/>
      <c r="F65" s="13">
        <f>IF(D$12=0,0,D65/D$12)</f>
        <v>0</v>
      </c>
      <c r="G65" s="5"/>
      <c r="H65" s="5">
        <f>SUM(0)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SUM(0)</f>
        <v>0</v>
      </c>
      <c r="Q65" s="5"/>
      <c r="R65" s="13">
        <f>IF(P$12=0,0,P65/P$12)</f>
        <v>0</v>
      </c>
      <c r="S65" s="5"/>
      <c r="T65" s="5">
        <f>SUM(0)</f>
        <v>0</v>
      </c>
      <c r="U65" s="5"/>
      <c r="V65" s="13">
        <f>IF(T$12=0,0,T65/T$12)</f>
        <v>0</v>
      </c>
      <c r="W65" s="5"/>
      <c r="X65" s="5">
        <f>+P65-T65</f>
        <v>0</v>
      </c>
      <c r="Y65" s="5"/>
      <c r="Z65" s="13">
        <f>IF(T65=0,0,X65/T65)</f>
        <v>0</v>
      </c>
    </row>
    <row r="66" spans="1:26" ht="15" customHeight="1" x14ac:dyDescent="0.3">
      <c r="A66" s="10"/>
      <c r="B66" s="11"/>
      <c r="C66" s="11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O66" s="11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3" customFormat="1" ht="15" customHeight="1" x14ac:dyDescent="0.3">
      <c r="A67" s="11"/>
      <c r="B67" s="28" t="s">
        <v>292</v>
      </c>
      <c r="C67" s="28"/>
      <c r="D67" s="21">
        <f>+D16-D18+D65</f>
        <v>-57203.45</v>
      </c>
      <c r="E67" s="15"/>
      <c r="F67" s="22">
        <f>IF(D$12=0,0,D67/D$12)</f>
        <v>0</v>
      </c>
      <c r="G67" s="15"/>
      <c r="H67" s="21">
        <f>+H16-H18+H65</f>
        <v>-46202.666047384599</v>
      </c>
      <c r="I67" s="15"/>
      <c r="J67" s="22">
        <f>IF(H$12=0,0,H67/H$12)</f>
        <v>0</v>
      </c>
      <c r="K67" s="16"/>
      <c r="L67" s="21">
        <f>+D67-H67</f>
        <v>-11000.783952615398</v>
      </c>
      <c r="M67" s="16"/>
      <c r="N67" s="22">
        <f>IF(H67=0,0,L67/H67)</f>
        <v>0.23809846690087533</v>
      </c>
      <c r="O67" s="27"/>
      <c r="P67" s="21">
        <f>+P16-P18+P65</f>
        <v>-375930.83999999997</v>
      </c>
      <c r="Q67" s="15"/>
      <c r="R67" s="22">
        <f>IF(P$12=0,0,P67/P$12)</f>
        <v>0</v>
      </c>
      <c r="S67" s="15"/>
      <c r="T67" s="21">
        <f>+T16-T18+T65</f>
        <v>-408336.5779146147</v>
      </c>
      <c r="U67" s="15"/>
      <c r="V67" s="22">
        <f>IF(T$12=0,0,T67/T$12)</f>
        <v>0</v>
      </c>
      <c r="W67" s="16"/>
      <c r="X67" s="21">
        <f>+P67-T67</f>
        <v>32405.737914614729</v>
      </c>
      <c r="Y67" s="16"/>
      <c r="Z67" s="22">
        <f>IF(T67=0,0,X67/T67)</f>
        <v>-7.9360360220756265E-2</v>
      </c>
    </row>
    <row r="68" spans="1:26" ht="15" customHeight="1" x14ac:dyDescent="0.3">
      <c r="A68" s="10"/>
      <c r="B68" s="11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3" customFormat="1" ht="15" customHeight="1" x14ac:dyDescent="0.3">
      <c r="A69" s="49"/>
      <c r="B69" s="11" t="s">
        <v>293</v>
      </c>
      <c r="C69" s="11"/>
      <c r="D69" s="5"/>
      <c r="E69" s="5"/>
      <c r="F69" s="13">
        <f>IF(D$12=0,0,D69/D$12)</f>
        <v>0</v>
      </c>
      <c r="G69" s="5"/>
      <c r="H69" s="5"/>
      <c r="I69" s="5"/>
      <c r="J69" s="13">
        <f>IF(H$12=0,0,H69/H$12)</f>
        <v>0</v>
      </c>
      <c r="K69" s="5"/>
      <c r="L69" s="5">
        <f>+D69-H69</f>
        <v>0</v>
      </c>
      <c r="M69" s="5"/>
      <c r="N69" s="13">
        <f>IF(H69=0,0,L69/H69)</f>
        <v>0</v>
      </c>
      <c r="O69" s="11"/>
      <c r="P69" s="5"/>
      <c r="Q69" s="5"/>
      <c r="R69" s="13">
        <f>IF(P$12=0,0,P69/P$12)</f>
        <v>0</v>
      </c>
      <c r="S69" s="5"/>
      <c r="T69" s="5"/>
      <c r="U69" s="5"/>
      <c r="V69" s="13">
        <f>IF(T$12=0,0,T69/T$12)</f>
        <v>0</v>
      </c>
      <c r="W69" s="5"/>
      <c r="X69" s="5">
        <f>+P69-T69</f>
        <v>0</v>
      </c>
      <c r="Y69" s="5"/>
      <c r="Z69" s="13">
        <f>IF(T69=0,0,X69/T69)</f>
        <v>0</v>
      </c>
    </row>
    <row r="70" spans="1:26" ht="15" customHeight="1" x14ac:dyDescent="0.3">
      <c r="A70" s="10"/>
      <c r="B70" s="11"/>
      <c r="C70" s="11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O70" s="11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3" customFormat="1" ht="15" customHeight="1" x14ac:dyDescent="0.3">
      <c r="A71" s="11"/>
      <c r="B71" s="28" t="s">
        <v>294</v>
      </c>
      <c r="C71" s="28"/>
      <c r="D71" s="33">
        <f>+D67-D69</f>
        <v>-57203.45</v>
      </c>
      <c r="E71" s="15"/>
      <c r="F71" s="32">
        <f>IF(D$12=0,0,D71/D$12)</f>
        <v>0</v>
      </c>
      <c r="G71" s="15"/>
      <c r="H71" s="33">
        <f>+H67-H69</f>
        <v>-46202.666047384599</v>
      </c>
      <c r="I71" s="15"/>
      <c r="J71" s="32">
        <f>IF(H$12=0,0,H71/H$12)</f>
        <v>0</v>
      </c>
      <c r="K71" s="16"/>
      <c r="L71" s="33">
        <f>D71-H71</f>
        <v>-11000.783952615398</v>
      </c>
      <c r="M71" s="16"/>
      <c r="N71" s="32">
        <f>IF(H71=0,0,L71/H71)</f>
        <v>0.23809846690087533</v>
      </c>
      <c r="O71" s="27"/>
      <c r="P71" s="33">
        <f>+P67-P69</f>
        <v>-375930.83999999997</v>
      </c>
      <c r="Q71" s="15"/>
      <c r="R71" s="32">
        <f>IF(P$12=0,0,P71/P$12)</f>
        <v>0</v>
      </c>
      <c r="S71" s="15"/>
      <c r="T71" s="33">
        <f>+T67-T69</f>
        <v>-408336.5779146147</v>
      </c>
      <c r="U71" s="15"/>
      <c r="V71" s="32">
        <f>IF(T$12=0,0,T71/T$12)</f>
        <v>0</v>
      </c>
      <c r="W71" s="16"/>
      <c r="X71" s="33">
        <f>P71-T71</f>
        <v>32405.737914614729</v>
      </c>
      <c r="Y71" s="16"/>
      <c r="Z71" s="32">
        <f>IF(T71=0,0,X71/T71)</f>
        <v>-7.9360360220756265E-2</v>
      </c>
    </row>
    <row r="72" spans="1:26" ht="15" customHeight="1" x14ac:dyDescent="0.3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3" customFormat="1" ht="15" customHeight="1" x14ac:dyDescent="0.3">
      <c r="A74" s="11"/>
      <c r="B74" s="28" t="s">
        <v>297</v>
      </c>
      <c r="C74" s="28"/>
      <c r="D74" s="34">
        <f>SUM(D71:D73)</f>
        <v>-57203.45</v>
      </c>
      <c r="E74" s="15"/>
      <c r="F74" s="30">
        <f>IF(D$12=0,0,D74/D$12)</f>
        <v>0</v>
      </c>
      <c r="G74" s="15"/>
      <c r="H74" s="34">
        <f>SUM(H71:H73)</f>
        <v>-46202.666047384599</v>
      </c>
      <c r="I74" s="15"/>
      <c r="J74" s="30">
        <f>IF(H$12=0,0,H74/H$12)</f>
        <v>0</v>
      </c>
      <c r="K74" s="16"/>
      <c r="L74" s="34">
        <f>+D74-H74</f>
        <v>-11000.783952615398</v>
      </c>
      <c r="M74" s="16"/>
      <c r="N74" s="30">
        <f>IF(H74=0,0,L74/H74)</f>
        <v>0.23809846690087533</v>
      </c>
      <c r="O74" s="27"/>
      <c r="P74" s="34">
        <f>SUM(P71:P73)</f>
        <v>-375930.83999999997</v>
      </c>
      <c r="Q74" s="15"/>
      <c r="R74" s="30">
        <f>IF(P$12=0,0,P74/P$12)</f>
        <v>0</v>
      </c>
      <c r="S74" s="15"/>
      <c r="T74" s="34">
        <f>SUM(T71:T73)</f>
        <v>-408336.5779146147</v>
      </c>
      <c r="U74" s="15"/>
      <c r="V74" s="30">
        <f>IF(T$12=0,0,T74/T$12)</f>
        <v>0</v>
      </c>
      <c r="W74" s="16"/>
      <c r="X74" s="34">
        <f>+P74-T74</f>
        <v>32405.737914614729</v>
      </c>
      <c r="Y74" s="16"/>
      <c r="Z74" s="30">
        <f>IF(T74=0,0,X74/T74)</f>
        <v>-7.9360360220756265E-2</v>
      </c>
    </row>
    <row r="75" spans="1:26" ht="15" customHeight="1" x14ac:dyDescent="0.3">
      <c r="A75" s="10"/>
      <c r="C75" s="10"/>
      <c r="D75" s="19"/>
      <c r="E75" s="19"/>
      <c r="G75" s="19"/>
      <c r="H75" s="19"/>
      <c r="I75" s="19"/>
      <c r="J75" s="41"/>
      <c r="K75" s="19"/>
      <c r="L75" s="19"/>
      <c r="M75" s="19"/>
      <c r="P75" s="19"/>
      <c r="Q75" s="19"/>
      <c r="R75" s="41"/>
      <c r="S75" s="19"/>
      <c r="T75" s="19"/>
      <c r="U75" s="19"/>
      <c r="V75" s="41"/>
      <c r="W75" s="19"/>
      <c r="X75" s="19"/>
    </row>
    <row r="76" spans="1:26" ht="15" customHeight="1" x14ac:dyDescent="0.3">
      <c r="A76" s="10"/>
      <c r="B76" s="57">
        <v>44634.883430555557</v>
      </c>
      <c r="D76" s="19"/>
      <c r="E76" s="19"/>
      <c r="G76" s="19"/>
      <c r="H76" s="19"/>
      <c r="I76" s="19"/>
      <c r="J76" s="41"/>
      <c r="K76" s="19"/>
      <c r="L76" s="19"/>
      <c r="M76" s="19"/>
      <c r="P76" s="19"/>
      <c r="Q76" s="19"/>
      <c r="R76" s="41"/>
      <c r="S76" s="19"/>
      <c r="T76" s="19"/>
      <c r="U76" s="19"/>
      <c r="V76" s="41"/>
      <c r="W76" s="19"/>
      <c r="X76" s="19"/>
    </row>
    <row r="77" spans="1:26" ht="15" customHeight="1" x14ac:dyDescent="0.3">
      <c r="A77" s="10"/>
      <c r="B77" s="56" t="s">
        <v>298</v>
      </c>
      <c r="D77" s="19"/>
      <c r="E77" s="19"/>
      <c r="G77" s="19"/>
      <c r="H77" s="19"/>
      <c r="I77" s="19"/>
      <c r="J77" s="41"/>
      <c r="K77" s="19"/>
      <c r="L77" s="19"/>
      <c r="M77" s="19"/>
      <c r="P77" s="19"/>
      <c r="Q77" s="19"/>
      <c r="R77" s="41"/>
      <c r="S77" s="19"/>
      <c r="T77" s="19"/>
      <c r="U77" s="19"/>
      <c r="V77" s="41"/>
      <c r="W77" s="19"/>
      <c r="X77" s="19"/>
    </row>
    <row r="78" spans="1:26" ht="15" customHeight="1" x14ac:dyDescent="0.3">
      <c r="A78" s="10"/>
      <c r="B78" s="54"/>
      <c r="D78" s="19"/>
      <c r="E78" s="19"/>
      <c r="G78" s="19"/>
      <c r="H78" s="19"/>
      <c r="I78" s="19"/>
      <c r="J78" s="41"/>
      <c r="K78" s="19"/>
      <c r="L78" s="19"/>
      <c r="M78" s="19"/>
      <c r="P78" s="19"/>
      <c r="Q78" s="19"/>
      <c r="R78" s="41"/>
      <c r="S78" s="19"/>
      <c r="T78" s="19"/>
      <c r="U78" s="19"/>
      <c r="V78" s="41"/>
      <c r="W78" s="19"/>
      <c r="X78" s="19"/>
    </row>
    <row r="79" spans="1:26" ht="15" customHeight="1" x14ac:dyDescent="0.3">
      <c r="D79" s="19"/>
      <c r="E79" s="19"/>
      <c r="G79" s="19"/>
      <c r="H79" s="19"/>
      <c r="I79" s="19"/>
      <c r="J79" s="41"/>
      <c r="K79" s="19"/>
      <c r="L79" s="19"/>
      <c r="M79" s="19"/>
      <c r="P79" s="19"/>
      <c r="Q79" s="19"/>
      <c r="R79" s="41"/>
      <c r="S79" s="19"/>
      <c r="T79" s="19"/>
      <c r="U79" s="19"/>
      <c r="V79" s="41"/>
      <c r="W79" s="19"/>
      <c r="X79" s="19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629A-058C-E342-167D-768D11B8AFE7}">
  <sheetPr>
    <tabColor rgb="FF92D050"/>
    <outlinePr summaryBelow="0" summaryRight="0"/>
  </sheetPr>
  <dimension ref="A2:Z7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","205"," - ","Maintenance")</f>
        <v>Department 205 - Maintenance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7873.39</v>
      </c>
      <c r="E18" s="23"/>
      <c r="F18" s="29">
        <f t="shared" ref="F18:F54" si="0">IF(D$12=0,0,D18/D$12)</f>
        <v>0</v>
      </c>
      <c r="G18" s="23"/>
      <c r="H18" s="23" cm="1">
        <f t="array" ref="H18">SUM(OSRRefH22x_0)</f>
        <v>7587.9665799999993</v>
      </c>
      <c r="I18" s="23"/>
      <c r="J18" s="29">
        <f t="shared" ref="J18:J54" si="1">IF(H$12=0,0,H18/H$12)</f>
        <v>0</v>
      </c>
      <c r="K18" s="5"/>
      <c r="L18" s="23">
        <f t="shared" ref="L18:L54" si="2">+D18-H18</f>
        <v>285.42342000000099</v>
      </c>
      <c r="M18" s="5"/>
      <c r="N18" s="29">
        <f t="shared" ref="N18:N54" si="3">IF(H18=0,0,L18/H18)</f>
        <v>3.7615271099415017E-2</v>
      </c>
      <c r="O18" s="11"/>
      <c r="P18" s="23" cm="1">
        <f t="array" ref="P18">SUM(OSRRefP22x_0)</f>
        <v>66464.25</v>
      </c>
      <c r="Q18" s="23"/>
      <c r="R18" s="29">
        <f t="shared" ref="R18:R54" si="4">IF(P$12=0,0,P18/P$12)</f>
        <v>0</v>
      </c>
      <c r="S18" s="23"/>
      <c r="T18" s="23" cm="1">
        <f t="array" ref="T18">SUM(OSRRefT22x_0)</f>
        <v>67980.957574999993</v>
      </c>
      <c r="U18" s="23"/>
      <c r="V18" s="29">
        <f t="shared" ref="V18:V54" si="5">IF(T$12=0,0,T18/T$12)</f>
        <v>0</v>
      </c>
      <c r="W18" s="5"/>
      <c r="X18" s="23">
        <f t="shared" ref="X18:X54" si="6">+P18-T18</f>
        <v>-1516.7075749999931</v>
      </c>
      <c r="Y18" s="5"/>
      <c r="Z18" s="29">
        <f t="shared" ref="Z18:Z54" si="7">IF(T18=0,0,X18/T18)</f>
        <v>-2.231077097327859E-2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2577.7200000000003</v>
      </c>
      <c r="E19" s="2"/>
      <c r="F19" s="6">
        <f t="shared" si="0"/>
        <v>0</v>
      </c>
      <c r="G19" s="2"/>
      <c r="H19" s="2">
        <f>SUM(OSRRefH22_0x_0)</f>
        <v>1854.7865799999997</v>
      </c>
      <c r="I19" s="2"/>
      <c r="J19" s="6">
        <f t="shared" si="1"/>
        <v>0</v>
      </c>
      <c r="K19" s="2"/>
      <c r="L19" s="2">
        <f t="shared" si="2"/>
        <v>722.93342000000052</v>
      </c>
      <c r="M19" s="2"/>
      <c r="N19" s="6">
        <f t="shared" si="3"/>
        <v>0.38976636330849485</v>
      </c>
      <c r="O19" s="14"/>
      <c r="P19" s="2">
        <f>SUM(OSRRefP22_0x_0)</f>
        <v>21574.81</v>
      </c>
      <c r="Q19" s="2"/>
      <c r="R19" s="6">
        <f t="shared" si="4"/>
        <v>0</v>
      </c>
      <c r="S19" s="2"/>
      <c r="T19" s="2">
        <f>SUM(OSRRefT22_0x_0)</f>
        <v>16098.132575</v>
      </c>
      <c r="U19" s="2"/>
      <c r="V19" s="6">
        <f t="shared" si="5"/>
        <v>0</v>
      </c>
      <c r="W19" s="2"/>
      <c r="X19" s="2">
        <f t="shared" si="6"/>
        <v>5476.6774250000017</v>
      </c>
      <c r="Y19" s="2"/>
      <c r="Z19" s="6">
        <f t="shared" si="7"/>
        <v>0.34020575985969614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343.94</v>
      </c>
      <c r="E20" s="3"/>
      <c r="F20" s="7">
        <f t="shared" si="0"/>
        <v>0</v>
      </c>
      <c r="G20" s="3"/>
      <c r="H20" s="8">
        <v>331.06878</v>
      </c>
      <c r="I20" s="3"/>
      <c r="J20" s="7">
        <f t="shared" si="1"/>
        <v>0</v>
      </c>
      <c r="K20" s="3"/>
      <c r="L20" s="8">
        <f t="shared" si="2"/>
        <v>12.871219999999994</v>
      </c>
      <c r="M20" s="3"/>
      <c r="N20" s="7">
        <f t="shared" si="3"/>
        <v>3.88777824354202E-2</v>
      </c>
      <c r="O20" s="12"/>
      <c r="P20" s="8">
        <v>2835.48</v>
      </c>
      <c r="Q20" s="3"/>
      <c r="R20" s="7">
        <f t="shared" si="4"/>
        <v>0</v>
      </c>
      <c r="S20" s="3"/>
      <c r="T20" s="8">
        <v>2896.8518250000002</v>
      </c>
      <c r="U20" s="3"/>
      <c r="V20" s="7">
        <f t="shared" si="5"/>
        <v>0</v>
      </c>
      <c r="W20" s="3"/>
      <c r="X20" s="8">
        <f t="shared" si="6"/>
        <v>-61.371825000000172</v>
      </c>
      <c r="Y20" s="3"/>
      <c r="Z20" s="7">
        <f t="shared" si="7"/>
        <v>-2.1185696993666622E-2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247.65</v>
      </c>
      <c r="E21" s="3"/>
      <c r="F21" s="7">
        <f t="shared" si="0"/>
        <v>0</v>
      </c>
      <c r="G21" s="3"/>
      <c r="H21" s="8">
        <v>295.03320000000002</v>
      </c>
      <c r="I21" s="3"/>
      <c r="J21" s="7">
        <f t="shared" si="1"/>
        <v>0</v>
      </c>
      <c r="K21" s="3"/>
      <c r="L21" s="8">
        <f t="shared" si="2"/>
        <v>-47.383200000000016</v>
      </c>
      <c r="M21" s="3"/>
      <c r="N21" s="7">
        <f t="shared" si="3"/>
        <v>-0.16060294231293296</v>
      </c>
      <c r="O21" s="12"/>
      <c r="P21" s="8">
        <v>2040.31</v>
      </c>
      <c r="Q21" s="3"/>
      <c r="R21" s="7">
        <f t="shared" si="4"/>
        <v>0</v>
      </c>
      <c r="S21" s="3"/>
      <c r="T21" s="8">
        <v>2581.5405000000001</v>
      </c>
      <c r="U21" s="3"/>
      <c r="V21" s="7">
        <f t="shared" si="5"/>
        <v>0</v>
      </c>
      <c r="W21" s="3"/>
      <c r="X21" s="8">
        <f t="shared" si="6"/>
        <v>-541.23050000000012</v>
      </c>
      <c r="Y21" s="3"/>
      <c r="Z21" s="7">
        <f t="shared" si="7"/>
        <v>-0.20965408057708182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694.36</v>
      </c>
      <c r="E22" s="3"/>
      <c r="F22" s="7">
        <f t="shared" si="0"/>
        <v>0</v>
      </c>
      <c r="G22" s="3"/>
      <c r="H22" s="8">
        <v>612</v>
      </c>
      <c r="I22" s="3"/>
      <c r="J22" s="7">
        <f t="shared" si="1"/>
        <v>0</v>
      </c>
      <c r="K22" s="3"/>
      <c r="L22" s="8">
        <f t="shared" si="2"/>
        <v>82.360000000000014</v>
      </c>
      <c r="M22" s="3"/>
      <c r="N22" s="7">
        <f t="shared" si="3"/>
        <v>0.13457516339869283</v>
      </c>
      <c r="O22" s="12"/>
      <c r="P22" s="8">
        <v>5576.93</v>
      </c>
      <c r="Q22" s="3"/>
      <c r="R22" s="7">
        <f t="shared" si="4"/>
        <v>0</v>
      </c>
      <c r="S22" s="3"/>
      <c r="T22" s="8">
        <v>5355</v>
      </c>
      <c r="U22" s="3"/>
      <c r="V22" s="7">
        <f t="shared" si="5"/>
        <v>0</v>
      </c>
      <c r="W22" s="3"/>
      <c r="X22" s="8">
        <f t="shared" si="6"/>
        <v>221.93000000000029</v>
      </c>
      <c r="Y22" s="3"/>
      <c r="Z22" s="7">
        <f t="shared" si="7"/>
        <v>4.144351073762844E-2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11.64</v>
      </c>
      <c r="E23" s="3"/>
      <c r="F23" s="7">
        <f t="shared" si="0"/>
        <v>0</v>
      </c>
      <c r="G23" s="3"/>
      <c r="H23" s="8">
        <v>9.0846</v>
      </c>
      <c r="I23" s="3"/>
      <c r="J23" s="7">
        <f t="shared" si="1"/>
        <v>0</v>
      </c>
      <c r="K23" s="3"/>
      <c r="L23" s="8">
        <f t="shared" si="2"/>
        <v>2.5554000000000006</v>
      </c>
      <c r="M23" s="3"/>
      <c r="N23" s="7">
        <f t="shared" si="3"/>
        <v>0.28128921471501228</v>
      </c>
      <c r="O23" s="12"/>
      <c r="P23" s="8">
        <v>95.92</v>
      </c>
      <c r="Q23" s="3"/>
      <c r="R23" s="7">
        <f t="shared" si="4"/>
        <v>0</v>
      </c>
      <c r="S23" s="3"/>
      <c r="T23" s="8">
        <v>79.490250000000003</v>
      </c>
      <c r="U23" s="3"/>
      <c r="V23" s="7">
        <f t="shared" si="5"/>
        <v>0</v>
      </c>
      <c r="W23" s="3"/>
      <c r="X23" s="8">
        <f t="shared" si="6"/>
        <v>16.429749999999999</v>
      </c>
      <c r="Y23" s="3"/>
      <c r="Z23" s="7">
        <f t="shared" si="7"/>
        <v>0.20668887064765801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475.21</v>
      </c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475.21</v>
      </c>
      <c r="M24" s="3"/>
      <c r="N24" s="7">
        <f t="shared" si="3"/>
        <v>0</v>
      </c>
      <c r="O24" s="12"/>
      <c r="P24" s="8">
        <v>3957.03</v>
      </c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3957.03</v>
      </c>
      <c r="Y24" s="3"/>
      <c r="Z24" s="7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403.46</v>
      </c>
      <c r="E26" s="3"/>
      <c r="F26" s="7">
        <f t="shared" si="0"/>
        <v>0</v>
      </c>
      <c r="G26" s="3"/>
      <c r="H26" s="8">
        <v>346.08</v>
      </c>
      <c r="I26" s="3"/>
      <c r="J26" s="7">
        <f t="shared" si="1"/>
        <v>0</v>
      </c>
      <c r="K26" s="3"/>
      <c r="L26" s="8">
        <f t="shared" si="2"/>
        <v>57.379999999999995</v>
      </c>
      <c r="M26" s="3"/>
      <c r="N26" s="7">
        <f t="shared" si="3"/>
        <v>0.16579981507165972</v>
      </c>
      <c r="O26" s="12"/>
      <c r="P26" s="8">
        <v>3308.77</v>
      </c>
      <c r="Q26" s="3"/>
      <c r="R26" s="7">
        <f t="shared" si="4"/>
        <v>0</v>
      </c>
      <c r="S26" s="3"/>
      <c r="T26" s="8">
        <v>3028.2</v>
      </c>
      <c r="U26" s="3"/>
      <c r="V26" s="7">
        <f t="shared" si="5"/>
        <v>0</v>
      </c>
      <c r="W26" s="3"/>
      <c r="X26" s="8">
        <f t="shared" si="6"/>
        <v>280.57000000000016</v>
      </c>
      <c r="Y26" s="3"/>
      <c r="Z26" s="7">
        <f t="shared" si="7"/>
        <v>9.2652400766131751E-2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201.46</v>
      </c>
      <c r="E27" s="3"/>
      <c r="F27" s="7">
        <f t="shared" si="0"/>
        <v>0</v>
      </c>
      <c r="G27" s="3"/>
      <c r="H27" s="8">
        <v>86.52</v>
      </c>
      <c r="I27" s="3"/>
      <c r="J27" s="7">
        <f t="shared" si="1"/>
        <v>0</v>
      </c>
      <c r="K27" s="3"/>
      <c r="L27" s="8">
        <f t="shared" si="2"/>
        <v>114.94000000000001</v>
      </c>
      <c r="M27" s="3"/>
      <c r="N27" s="7">
        <f t="shared" si="3"/>
        <v>1.3284789644012946</v>
      </c>
      <c r="O27" s="12"/>
      <c r="P27" s="8">
        <v>2431.85</v>
      </c>
      <c r="Q27" s="3"/>
      <c r="R27" s="7">
        <f t="shared" si="4"/>
        <v>0</v>
      </c>
      <c r="S27" s="3"/>
      <c r="T27" s="8">
        <v>757.05</v>
      </c>
      <c r="U27" s="3"/>
      <c r="V27" s="7">
        <f t="shared" si="5"/>
        <v>0</v>
      </c>
      <c r="W27" s="3"/>
      <c r="X27" s="8">
        <f t="shared" si="6"/>
        <v>1674.8</v>
      </c>
      <c r="Y27" s="3"/>
      <c r="Z27" s="7">
        <f t="shared" si="7"/>
        <v>2.2122713162935077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200</v>
      </c>
      <c r="E28" s="3"/>
      <c r="F28" s="7">
        <f t="shared" si="0"/>
        <v>0</v>
      </c>
      <c r="G28" s="3"/>
      <c r="H28" s="8">
        <v>175</v>
      </c>
      <c r="I28" s="3"/>
      <c r="J28" s="7">
        <f t="shared" si="1"/>
        <v>0</v>
      </c>
      <c r="K28" s="3"/>
      <c r="L28" s="8">
        <f t="shared" si="2"/>
        <v>25</v>
      </c>
      <c r="M28" s="3"/>
      <c r="N28" s="7">
        <f t="shared" si="3"/>
        <v>0.14285714285714285</v>
      </c>
      <c r="O28" s="12"/>
      <c r="P28" s="8">
        <v>1328.52</v>
      </c>
      <c r="Q28" s="3"/>
      <c r="R28" s="7">
        <f t="shared" si="4"/>
        <v>0</v>
      </c>
      <c r="S28" s="3"/>
      <c r="T28" s="8">
        <v>1400</v>
      </c>
      <c r="U28" s="3"/>
      <c r="V28" s="7">
        <f t="shared" si="5"/>
        <v>0</v>
      </c>
      <c r="W28" s="3"/>
      <c r="X28" s="8">
        <f t="shared" si="6"/>
        <v>-71.480000000000018</v>
      </c>
      <c r="Y28" s="3"/>
      <c r="Z28" s="7">
        <f t="shared" si="7"/>
        <v>-5.105714285714287E-2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4202.57</v>
      </c>
      <c r="E29" s="2"/>
      <c r="F29" s="6">
        <f t="shared" si="0"/>
        <v>0</v>
      </c>
      <c r="G29" s="2"/>
      <c r="H29" s="2">
        <f>SUM(OSRRefH22_1x_0)</f>
        <v>4023.18</v>
      </c>
      <c r="I29" s="2"/>
      <c r="J29" s="6">
        <f t="shared" si="1"/>
        <v>0</v>
      </c>
      <c r="K29" s="2"/>
      <c r="L29" s="2">
        <f t="shared" si="2"/>
        <v>179.38999999999987</v>
      </c>
      <c r="M29" s="2"/>
      <c r="N29" s="6">
        <f t="shared" si="3"/>
        <v>4.4589106129976755E-2</v>
      </c>
      <c r="O29" s="14"/>
      <c r="P29" s="2">
        <f>SUM(OSRRefP22_1x_0)</f>
        <v>34317.129999999997</v>
      </c>
      <c r="Q29" s="2"/>
      <c r="R29" s="6">
        <f t="shared" si="4"/>
        <v>0</v>
      </c>
      <c r="S29" s="2"/>
      <c r="T29" s="2">
        <f>SUM(OSRRefT22_1x_0)</f>
        <v>35202.824999999997</v>
      </c>
      <c r="U29" s="2"/>
      <c r="V29" s="6">
        <f t="shared" si="5"/>
        <v>0</v>
      </c>
      <c r="W29" s="2"/>
      <c r="X29" s="2">
        <f t="shared" si="6"/>
        <v>-885.69499999999971</v>
      </c>
      <c r="Y29" s="2"/>
      <c r="Z29" s="6">
        <f t="shared" si="7"/>
        <v>-2.5159770558186731E-2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8">
        <v>4202.57</v>
      </c>
      <c r="E31" s="3"/>
      <c r="F31" s="7">
        <f t="shared" si="0"/>
        <v>0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4202.57</v>
      </c>
      <c r="M31" s="3"/>
      <c r="N31" s="7">
        <f t="shared" si="3"/>
        <v>0</v>
      </c>
      <c r="O31" s="12"/>
      <c r="P31" s="8">
        <v>34317.129999999997</v>
      </c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34317.129999999997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4023.18</v>
      </c>
      <c r="I33" s="3"/>
      <c r="J33" s="7">
        <f t="shared" si="1"/>
        <v>0</v>
      </c>
      <c r="K33" s="3"/>
      <c r="L33" s="8">
        <f t="shared" si="2"/>
        <v>-4023.18</v>
      </c>
      <c r="M33" s="3"/>
      <c r="N33" s="7">
        <f t="shared" si="3"/>
        <v>-1</v>
      </c>
      <c r="O33" s="12"/>
      <c r="P33" s="8"/>
      <c r="Q33" s="3"/>
      <c r="R33" s="7">
        <f t="shared" si="4"/>
        <v>0</v>
      </c>
      <c r="S33" s="3"/>
      <c r="T33" s="8">
        <v>35202.824999999997</v>
      </c>
      <c r="U33" s="3"/>
      <c r="V33" s="7">
        <f t="shared" si="5"/>
        <v>0</v>
      </c>
      <c r="W33" s="3"/>
      <c r="X33" s="8">
        <f t="shared" si="6"/>
        <v>-35202.824999999997</v>
      </c>
      <c r="Y33" s="3"/>
      <c r="Z33" s="7">
        <f t="shared" si="7"/>
        <v>-1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","General                                           ")</f>
        <v xml:space="preserve">     General          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-906.57</v>
      </c>
      <c r="Q40" s="2"/>
      <c r="R40" s="6">
        <f t="shared" si="4"/>
        <v>0</v>
      </c>
      <c r="S40" s="2"/>
      <c r="T40" s="2">
        <f>SUM(OSRRefT22_2x_0)</f>
        <v>-600</v>
      </c>
      <c r="U40" s="2"/>
      <c r="V40" s="6">
        <f t="shared" si="5"/>
        <v>0</v>
      </c>
      <c r="W40" s="2"/>
      <c r="X40" s="2">
        <f t="shared" si="6"/>
        <v>-306.57000000000005</v>
      </c>
      <c r="Y40" s="2"/>
      <c r="Z40" s="6">
        <f t="shared" si="7"/>
        <v>0.51095000000000013</v>
      </c>
    </row>
    <row r="41" spans="1:26" s="70" customFormat="1" ht="15" hidden="1" customHeight="1" outlineLevel="2" x14ac:dyDescent="0.3">
      <c r="A41" s="26"/>
      <c r="B41" s="12" t="str">
        <f>CONCATENATE("          ","6279"," - ","GENERAL EXPENSE")</f>
        <v xml:space="preserve">          6279 - GENERAL EXPENSE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-906.57</v>
      </c>
      <c r="Q41" s="3"/>
      <c r="R41" s="7">
        <f t="shared" si="4"/>
        <v>0</v>
      </c>
      <c r="S41" s="3"/>
      <c r="T41" s="8">
        <v>-600</v>
      </c>
      <c r="U41" s="3"/>
      <c r="V41" s="7">
        <f t="shared" si="5"/>
        <v>0</v>
      </c>
      <c r="W41" s="3"/>
      <c r="X41" s="8">
        <f t="shared" si="6"/>
        <v>-306.57000000000005</v>
      </c>
      <c r="Y41" s="3"/>
      <c r="Z41" s="7">
        <f t="shared" si="7"/>
        <v>0.51095000000000013</v>
      </c>
    </row>
    <row r="42" spans="1:26" s="69" customFormat="1" ht="15" customHeight="1" outlineLevel="1" collapsed="1" x14ac:dyDescent="0.3">
      <c r="A42" s="25"/>
      <c r="B42" s="14" t="str">
        <f>CONCATENATE("     ","Insurance                                         ")</f>
        <v xml:space="preserve">     Insurance                                         </v>
      </c>
      <c r="C42" s="14"/>
      <c r="D42" s="2">
        <f>SUM(OSRRefD22_3x_0)</f>
        <v>33.380000000000003</v>
      </c>
      <c r="E42" s="2"/>
      <c r="F42" s="6">
        <f t="shared" si="0"/>
        <v>0</v>
      </c>
      <c r="G42" s="2"/>
      <c r="H42" s="2">
        <f>SUM(OSRRefH22_3x_0)</f>
        <v>35</v>
      </c>
      <c r="I42" s="2"/>
      <c r="J42" s="6">
        <f t="shared" si="1"/>
        <v>0</v>
      </c>
      <c r="K42" s="2"/>
      <c r="L42" s="2">
        <f t="shared" si="2"/>
        <v>-1.6199999999999974</v>
      </c>
      <c r="M42" s="2"/>
      <c r="N42" s="6">
        <f t="shared" si="3"/>
        <v>-4.6285714285714215E-2</v>
      </c>
      <c r="O42" s="14"/>
      <c r="P42" s="2">
        <f>SUM(OSRRefP22_3x_0)</f>
        <v>267.04000000000002</v>
      </c>
      <c r="Q42" s="2"/>
      <c r="R42" s="6">
        <f t="shared" si="4"/>
        <v>0</v>
      </c>
      <c r="S42" s="2"/>
      <c r="T42" s="2">
        <f>SUM(OSRRefT22_3x_0)</f>
        <v>280</v>
      </c>
      <c r="U42" s="2"/>
      <c r="V42" s="6">
        <f t="shared" si="5"/>
        <v>0</v>
      </c>
      <c r="W42" s="2"/>
      <c r="X42" s="2">
        <f t="shared" si="6"/>
        <v>-12.95999999999998</v>
      </c>
      <c r="Y42" s="2"/>
      <c r="Z42" s="6">
        <f t="shared" si="7"/>
        <v>-4.6285714285714215E-2</v>
      </c>
    </row>
    <row r="43" spans="1:26" s="70" customFormat="1" ht="15" hidden="1" customHeight="1" outlineLevel="2" x14ac:dyDescent="0.3">
      <c r="A43" s="26"/>
      <c r="B43" s="12" t="str">
        <f>CONCATENATE("          ","6314"," - ","LIABILITY INSURANCE")</f>
        <v xml:space="preserve">          6314 - LIABILITY INSURANCE</v>
      </c>
      <c r="C43" s="12"/>
      <c r="D43" s="8">
        <v>33.380000000000003</v>
      </c>
      <c r="E43" s="3"/>
      <c r="F43" s="7">
        <f t="shared" si="0"/>
        <v>0</v>
      </c>
      <c r="G43" s="3"/>
      <c r="H43" s="8">
        <v>35</v>
      </c>
      <c r="I43" s="3"/>
      <c r="J43" s="7">
        <f t="shared" si="1"/>
        <v>0</v>
      </c>
      <c r="K43" s="3"/>
      <c r="L43" s="8">
        <f t="shared" si="2"/>
        <v>-1.6199999999999974</v>
      </c>
      <c r="M43" s="3"/>
      <c r="N43" s="7">
        <f t="shared" si="3"/>
        <v>-4.6285714285714215E-2</v>
      </c>
      <c r="O43" s="12"/>
      <c r="P43" s="8">
        <v>267.04000000000002</v>
      </c>
      <c r="Q43" s="3"/>
      <c r="R43" s="7">
        <f t="shared" si="4"/>
        <v>0</v>
      </c>
      <c r="S43" s="3"/>
      <c r="T43" s="8">
        <v>280</v>
      </c>
      <c r="U43" s="3"/>
      <c r="V43" s="7">
        <f t="shared" si="5"/>
        <v>0</v>
      </c>
      <c r="W43" s="3"/>
      <c r="X43" s="8">
        <f t="shared" si="6"/>
        <v>-12.95999999999998</v>
      </c>
      <c r="Y43" s="3"/>
      <c r="Z43" s="7">
        <f t="shared" si="7"/>
        <v>-4.6285714285714215E-2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961.71999999999991</v>
      </c>
      <c r="E44" s="2"/>
      <c r="F44" s="6">
        <f t="shared" si="0"/>
        <v>0</v>
      </c>
      <c r="G44" s="2"/>
      <c r="H44" s="2">
        <f>SUM(OSRRefH22_4x_0)</f>
        <v>1500</v>
      </c>
      <c r="I44" s="2"/>
      <c r="J44" s="6">
        <f t="shared" si="1"/>
        <v>0</v>
      </c>
      <c r="K44" s="2"/>
      <c r="L44" s="2">
        <f t="shared" si="2"/>
        <v>-538.28000000000009</v>
      </c>
      <c r="M44" s="2"/>
      <c r="N44" s="6">
        <f t="shared" si="3"/>
        <v>-0.35885333333333341</v>
      </c>
      <c r="O44" s="14"/>
      <c r="P44" s="2">
        <f>SUM(OSRRefP22_4x_0)</f>
        <v>10241.540000000001</v>
      </c>
      <c r="Q44" s="2"/>
      <c r="R44" s="6">
        <f t="shared" si="4"/>
        <v>0</v>
      </c>
      <c r="S44" s="2"/>
      <c r="T44" s="2">
        <f>SUM(OSRRefT22_4x_0)</f>
        <v>10600</v>
      </c>
      <c r="U44" s="2"/>
      <c r="V44" s="6">
        <f t="shared" si="5"/>
        <v>0</v>
      </c>
      <c r="W44" s="2"/>
      <c r="X44" s="2">
        <f t="shared" si="6"/>
        <v>-358.45999999999913</v>
      </c>
      <c r="Y44" s="2"/>
      <c r="Z44" s="6">
        <f t="shared" si="7"/>
        <v>-3.3816981132075388E-2</v>
      </c>
    </row>
    <row r="45" spans="1:26" s="70" customFormat="1" ht="15" hidden="1" customHeight="1" outlineLevel="2" x14ac:dyDescent="0.3">
      <c r="A45" s="26"/>
      <c r="B45" s="12" t="str">
        <f>CONCATENATE("          ","6373"," - ","MAINTENANCE CONTRACTS")</f>
        <v xml:space="preserve">          6373 - MAINTENANCE CONTRACTS</v>
      </c>
      <c r="C45" s="12"/>
      <c r="D45" s="8">
        <v>946.3</v>
      </c>
      <c r="E45" s="3"/>
      <c r="F45" s="7">
        <f t="shared" si="0"/>
        <v>0</v>
      </c>
      <c r="G45" s="3"/>
      <c r="H45" s="8">
        <v>1500</v>
      </c>
      <c r="I45" s="3"/>
      <c r="J45" s="7">
        <f t="shared" si="1"/>
        <v>0</v>
      </c>
      <c r="K45" s="3"/>
      <c r="L45" s="8">
        <f t="shared" si="2"/>
        <v>-553.70000000000005</v>
      </c>
      <c r="M45" s="3"/>
      <c r="N45" s="7">
        <f t="shared" si="3"/>
        <v>-0.36913333333333337</v>
      </c>
      <c r="O45" s="12"/>
      <c r="P45" s="8">
        <v>10153.280000000001</v>
      </c>
      <c r="Q45" s="3"/>
      <c r="R45" s="7">
        <f t="shared" si="4"/>
        <v>0</v>
      </c>
      <c r="S45" s="3"/>
      <c r="T45" s="8">
        <v>10600</v>
      </c>
      <c r="U45" s="3"/>
      <c r="V45" s="7">
        <f t="shared" si="5"/>
        <v>0</v>
      </c>
      <c r="W45" s="3"/>
      <c r="X45" s="8">
        <f t="shared" si="6"/>
        <v>-446.71999999999935</v>
      </c>
      <c r="Y45" s="3"/>
      <c r="Z45" s="7">
        <f t="shared" si="7"/>
        <v>-4.2143396226415032E-2</v>
      </c>
    </row>
    <row r="46" spans="1:26" s="70" customFormat="1" ht="15" hidden="1" customHeight="1" outlineLevel="2" x14ac:dyDescent="0.3">
      <c r="A46" s="26"/>
      <c r="B46" s="12" t="str">
        <f>CONCATENATE("          ","6375"," - ","OUTSIDE REPAIRS &amp; MAINTENANCE")</f>
        <v xml:space="preserve">          6375 - OUTSIDE REPAIRS &amp; MAINTENANCE</v>
      </c>
      <c r="C46" s="12"/>
      <c r="D46" s="8">
        <v>15.42</v>
      </c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15.42</v>
      </c>
      <c r="M46" s="3"/>
      <c r="N46" s="7">
        <f t="shared" si="3"/>
        <v>0</v>
      </c>
      <c r="O46" s="12"/>
      <c r="P46" s="8">
        <v>88.26</v>
      </c>
      <c r="Q46" s="3"/>
      <c r="R46" s="7">
        <f t="shared" si="4"/>
        <v>0</v>
      </c>
      <c r="S46" s="3"/>
      <c r="T46" s="8"/>
      <c r="U46" s="3"/>
      <c r="V46" s="7">
        <f t="shared" si="5"/>
        <v>0</v>
      </c>
      <c r="W46" s="3"/>
      <c r="X46" s="8">
        <f t="shared" si="6"/>
        <v>88.26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","Services                                          ")</f>
        <v xml:space="preserve">     Services                                          </v>
      </c>
      <c r="C47" s="14"/>
      <c r="D47" s="2">
        <f>SUM(OSRRefD22_5x_0)</f>
        <v>0</v>
      </c>
      <c r="E47" s="2"/>
      <c r="F47" s="6">
        <f t="shared" si="0"/>
        <v>0</v>
      </c>
      <c r="G47" s="2"/>
      <c r="H47" s="2">
        <f>SUM(OSRRefH22_5x_0)</f>
        <v>25</v>
      </c>
      <c r="I47" s="2"/>
      <c r="J47" s="6">
        <f t="shared" si="1"/>
        <v>0</v>
      </c>
      <c r="K47" s="2"/>
      <c r="L47" s="2">
        <f t="shared" si="2"/>
        <v>-25</v>
      </c>
      <c r="M47" s="2"/>
      <c r="N47" s="6">
        <f t="shared" si="3"/>
        <v>-1</v>
      </c>
      <c r="O47" s="14"/>
      <c r="P47" s="2">
        <f>SUM(OSRRefP22_5x_0)</f>
        <v>0</v>
      </c>
      <c r="Q47" s="2"/>
      <c r="R47" s="6">
        <f t="shared" si="4"/>
        <v>0</v>
      </c>
      <c r="S47" s="2"/>
      <c r="T47" s="2">
        <f>SUM(OSRRefT22_5x_0)</f>
        <v>200</v>
      </c>
      <c r="U47" s="2"/>
      <c r="V47" s="6">
        <f t="shared" si="5"/>
        <v>0</v>
      </c>
      <c r="W47" s="2"/>
      <c r="X47" s="2">
        <f t="shared" si="6"/>
        <v>-200</v>
      </c>
      <c r="Y47" s="2"/>
      <c r="Z47" s="6">
        <f t="shared" si="7"/>
        <v>-1</v>
      </c>
    </row>
    <row r="48" spans="1:26" s="70" customFormat="1" ht="15" hidden="1" customHeight="1" outlineLevel="2" x14ac:dyDescent="0.3">
      <c r="A48" s="26"/>
      <c r="B48" s="12" t="str">
        <f>CONCATENATE("          ","6286"," - ","LAUNDRY EXPENSE")</f>
        <v xml:space="preserve">          6286 - LAUNDRY EXPENSE</v>
      </c>
      <c r="C48" s="12"/>
      <c r="D48" s="8"/>
      <c r="E48" s="3"/>
      <c r="F48" s="7">
        <f t="shared" si="0"/>
        <v>0</v>
      </c>
      <c r="G48" s="3"/>
      <c r="H48" s="8">
        <v>25</v>
      </c>
      <c r="I48" s="3"/>
      <c r="J48" s="7">
        <f t="shared" si="1"/>
        <v>0</v>
      </c>
      <c r="K48" s="3"/>
      <c r="L48" s="8">
        <f t="shared" si="2"/>
        <v>-25</v>
      </c>
      <c r="M48" s="3"/>
      <c r="N48" s="7">
        <f t="shared" si="3"/>
        <v>-1</v>
      </c>
      <c r="O48" s="12"/>
      <c r="P48" s="8"/>
      <c r="Q48" s="3"/>
      <c r="R48" s="7">
        <f t="shared" si="4"/>
        <v>0</v>
      </c>
      <c r="S48" s="3"/>
      <c r="T48" s="8">
        <v>200</v>
      </c>
      <c r="U48" s="3"/>
      <c r="V48" s="7">
        <f t="shared" si="5"/>
        <v>0</v>
      </c>
      <c r="W48" s="3"/>
      <c r="X48" s="8">
        <f t="shared" si="6"/>
        <v>-200</v>
      </c>
      <c r="Y48" s="3"/>
      <c r="Z48" s="7">
        <f t="shared" si="7"/>
        <v>-1</v>
      </c>
    </row>
    <row r="49" spans="1:26" s="69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SUM(OSRRefD22_6x_0)</f>
        <v>0</v>
      </c>
      <c r="E49" s="2"/>
      <c r="F49" s="6">
        <f t="shared" si="0"/>
        <v>0</v>
      </c>
      <c r="G49" s="2"/>
      <c r="H49" s="2">
        <f>SUM(OSRRefH22_6x_0)</f>
        <v>25</v>
      </c>
      <c r="I49" s="2"/>
      <c r="J49" s="6">
        <f t="shared" si="1"/>
        <v>0</v>
      </c>
      <c r="K49" s="2"/>
      <c r="L49" s="2">
        <f t="shared" si="2"/>
        <v>-25</v>
      </c>
      <c r="M49" s="2"/>
      <c r="N49" s="6">
        <f t="shared" si="3"/>
        <v>-1</v>
      </c>
      <c r="O49" s="14"/>
      <c r="P49" s="2">
        <f>SUM(OSRRefP22_6x_0)</f>
        <v>236.29999999999998</v>
      </c>
      <c r="Q49" s="2"/>
      <c r="R49" s="6">
        <f t="shared" si="4"/>
        <v>0</v>
      </c>
      <c r="S49" s="2"/>
      <c r="T49" s="2">
        <f>SUM(OSRRefT22_6x_0)</f>
        <v>5200</v>
      </c>
      <c r="U49" s="2"/>
      <c r="V49" s="6">
        <f t="shared" si="5"/>
        <v>0</v>
      </c>
      <c r="W49" s="2"/>
      <c r="X49" s="2">
        <f t="shared" si="6"/>
        <v>-4963.7</v>
      </c>
      <c r="Y49" s="2"/>
      <c r="Z49" s="6">
        <f t="shared" si="7"/>
        <v>-0.95455769230769227</v>
      </c>
    </row>
    <row r="50" spans="1:26" s="70" customFormat="1" ht="15" hidden="1" customHeight="1" outlineLevel="2" x14ac:dyDescent="0.3">
      <c r="A50" s="26"/>
      <c r="B50" s="12" t="str">
        <f>CONCATENATE("          ","6234"," - ","EXPENDABLE SUPPLIES &amp; EQUIPMEN")</f>
        <v xml:space="preserve">          6234 - EXPENDABLE SUPPLIES &amp; EQUIPMEN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26.1</v>
      </c>
      <c r="Q50" s="3"/>
      <c r="R50" s="7">
        <f t="shared" si="4"/>
        <v>0</v>
      </c>
      <c r="S50" s="3"/>
      <c r="T50" s="8"/>
      <c r="U50" s="3"/>
      <c r="V50" s="7">
        <f t="shared" si="5"/>
        <v>0</v>
      </c>
      <c r="W50" s="3"/>
      <c r="X50" s="8">
        <f t="shared" si="6"/>
        <v>26.1</v>
      </c>
      <c r="Y50" s="3"/>
      <c r="Z50" s="7">
        <f t="shared" si="7"/>
        <v>0</v>
      </c>
    </row>
    <row r="51" spans="1:26" s="70" customFormat="1" ht="15" hidden="1" customHeight="1" outlineLevel="2" x14ac:dyDescent="0.3">
      <c r="A51" s="26"/>
      <c r="B51" s="12" t="str">
        <f>CONCATENATE("          ","6241"," - ","OFFICE EXPENSE")</f>
        <v xml:space="preserve">          6241 - OFFICE EXPENSE</v>
      </c>
      <c r="C51" s="12"/>
      <c r="D51" s="8"/>
      <c r="E51" s="3"/>
      <c r="F51" s="7">
        <f t="shared" si="0"/>
        <v>0</v>
      </c>
      <c r="G51" s="3"/>
      <c r="H51" s="8">
        <v>25</v>
      </c>
      <c r="I51" s="3"/>
      <c r="J51" s="7">
        <f t="shared" si="1"/>
        <v>0</v>
      </c>
      <c r="K51" s="3"/>
      <c r="L51" s="8">
        <f t="shared" si="2"/>
        <v>-25</v>
      </c>
      <c r="M51" s="3"/>
      <c r="N51" s="7">
        <f t="shared" si="3"/>
        <v>-1</v>
      </c>
      <c r="O51" s="12"/>
      <c r="P51" s="8">
        <v>210.2</v>
      </c>
      <c r="Q51" s="3"/>
      <c r="R51" s="7">
        <f t="shared" si="4"/>
        <v>0</v>
      </c>
      <c r="S51" s="3"/>
      <c r="T51" s="8">
        <v>200</v>
      </c>
      <c r="U51" s="3"/>
      <c r="V51" s="7">
        <f t="shared" si="5"/>
        <v>0</v>
      </c>
      <c r="W51" s="3"/>
      <c r="X51" s="8">
        <f t="shared" si="6"/>
        <v>10.199999999999989</v>
      </c>
      <c r="Y51" s="3"/>
      <c r="Z51" s="7">
        <f t="shared" si="7"/>
        <v>5.0999999999999941E-2</v>
      </c>
    </row>
    <row r="52" spans="1:26" s="70" customFormat="1" ht="15" hidden="1" customHeight="1" outlineLevel="2" x14ac:dyDescent="0.3">
      <c r="A52" s="26"/>
      <c r="B52" s="12" t="str">
        <f>CONCATENATE("          ","6247"," - ","STORE SUPPLIES")</f>
        <v xml:space="preserve">          6247 - STORE SUPPLIES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/>
      <c r="Q52" s="3"/>
      <c r="R52" s="7">
        <f t="shared" si="4"/>
        <v>0</v>
      </c>
      <c r="S52" s="3"/>
      <c r="T52" s="8">
        <v>5000</v>
      </c>
      <c r="U52" s="3"/>
      <c r="V52" s="7">
        <f t="shared" si="5"/>
        <v>0</v>
      </c>
      <c r="W52" s="3"/>
      <c r="X52" s="8">
        <f t="shared" si="6"/>
        <v>-5000</v>
      </c>
      <c r="Y52" s="3"/>
      <c r="Z52" s="7">
        <f t="shared" si="7"/>
        <v>-1</v>
      </c>
    </row>
    <row r="53" spans="1:26" s="69" customFormat="1" ht="15" customHeight="1" outlineLevel="1" collapsed="1" x14ac:dyDescent="0.3">
      <c r="A53" s="25"/>
      <c r="B53" s="14" t="str">
        <f>CONCATENATE("     ","Telephone/Data Lines                              ")</f>
        <v xml:space="preserve">     Telephone/Data Lines                              </v>
      </c>
      <c r="C53" s="14"/>
      <c r="D53" s="2">
        <f>SUM(OSRRefD22_7x_0)</f>
        <v>98</v>
      </c>
      <c r="E53" s="2"/>
      <c r="F53" s="6">
        <f t="shared" si="0"/>
        <v>0</v>
      </c>
      <c r="G53" s="2"/>
      <c r="H53" s="2">
        <f>SUM(OSRRefH22_7x_0)</f>
        <v>125</v>
      </c>
      <c r="I53" s="2"/>
      <c r="J53" s="6">
        <f t="shared" si="1"/>
        <v>0</v>
      </c>
      <c r="K53" s="2"/>
      <c r="L53" s="2">
        <f t="shared" si="2"/>
        <v>-27</v>
      </c>
      <c r="M53" s="2"/>
      <c r="N53" s="6">
        <f t="shared" si="3"/>
        <v>-0.216</v>
      </c>
      <c r="O53" s="14"/>
      <c r="P53" s="2">
        <f>SUM(OSRRefP22_7x_0)</f>
        <v>734</v>
      </c>
      <c r="Q53" s="2"/>
      <c r="R53" s="6">
        <f t="shared" si="4"/>
        <v>0</v>
      </c>
      <c r="S53" s="2"/>
      <c r="T53" s="2">
        <f>SUM(OSRRefT22_7x_0)</f>
        <v>1000</v>
      </c>
      <c r="U53" s="2"/>
      <c r="V53" s="6">
        <f t="shared" si="5"/>
        <v>0</v>
      </c>
      <c r="W53" s="2"/>
      <c r="X53" s="2">
        <f t="shared" si="6"/>
        <v>-266</v>
      </c>
      <c r="Y53" s="2"/>
      <c r="Z53" s="6">
        <f t="shared" si="7"/>
        <v>-0.26600000000000001</v>
      </c>
    </row>
    <row r="54" spans="1:26" s="70" customFormat="1" ht="15" hidden="1" customHeight="1" outlineLevel="2" x14ac:dyDescent="0.3">
      <c r="A54" s="26"/>
      <c r="B54" s="12" t="str">
        <f>CONCATENATE("          ","6309"," - ","TELEPHONE")</f>
        <v xml:space="preserve">          6309 - TELEPHONE</v>
      </c>
      <c r="C54" s="12"/>
      <c r="D54" s="8">
        <v>98</v>
      </c>
      <c r="E54" s="3"/>
      <c r="F54" s="7">
        <f t="shared" si="0"/>
        <v>0</v>
      </c>
      <c r="G54" s="3"/>
      <c r="H54" s="8">
        <v>125</v>
      </c>
      <c r="I54" s="3"/>
      <c r="J54" s="7">
        <f t="shared" si="1"/>
        <v>0</v>
      </c>
      <c r="K54" s="3"/>
      <c r="L54" s="8">
        <f t="shared" si="2"/>
        <v>-27</v>
      </c>
      <c r="M54" s="3"/>
      <c r="N54" s="7">
        <f t="shared" si="3"/>
        <v>-0.216</v>
      </c>
      <c r="O54" s="12"/>
      <c r="P54" s="8">
        <v>734</v>
      </c>
      <c r="Q54" s="3"/>
      <c r="R54" s="7">
        <f t="shared" si="4"/>
        <v>0</v>
      </c>
      <c r="S54" s="3"/>
      <c r="T54" s="8">
        <v>1000</v>
      </c>
      <c r="U54" s="3"/>
      <c r="V54" s="7">
        <f t="shared" si="5"/>
        <v>0</v>
      </c>
      <c r="W54" s="3"/>
      <c r="X54" s="8">
        <f t="shared" si="6"/>
        <v>-266</v>
      </c>
      <c r="Y54" s="3"/>
      <c r="Z54" s="7">
        <f t="shared" si="7"/>
        <v>-0.26600000000000001</v>
      </c>
    </row>
    <row r="55" spans="1:26" s="65" customFormat="1" ht="15" customHeight="1" x14ac:dyDescent="0.3">
      <c r="A55" s="35"/>
      <c r="B55" s="35"/>
      <c r="C55" s="35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O55" s="35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63" customFormat="1" ht="15" customHeight="1" x14ac:dyDescent="0.3">
      <c r="A56" s="11"/>
      <c r="B56" s="27" t="s">
        <v>291</v>
      </c>
      <c r="C56" s="11"/>
      <c r="D56" s="5">
        <f>SUM(0)</f>
        <v>0</v>
      </c>
      <c r="E56" s="5"/>
      <c r="F56" s="13">
        <f>IF(D$12=0,0,D56/D$12)</f>
        <v>0</v>
      </c>
      <c r="G56" s="5"/>
      <c r="H56" s="5">
        <f>SUM(0)</f>
        <v>0</v>
      </c>
      <c r="I56" s="5"/>
      <c r="J56" s="13">
        <f>IF(H$12=0,0,H56/H$12)</f>
        <v>0</v>
      </c>
      <c r="K56" s="5"/>
      <c r="L56" s="5">
        <f>+D56-H56</f>
        <v>0</v>
      </c>
      <c r="M56" s="5"/>
      <c r="N56" s="13">
        <f>IF(H56=0,0,L56/H56)</f>
        <v>0</v>
      </c>
      <c r="O56" s="11"/>
      <c r="P56" s="5">
        <f>SUM(0)</f>
        <v>0</v>
      </c>
      <c r="Q56" s="5"/>
      <c r="R56" s="13">
        <f>IF(P$12=0,0,P56/P$12)</f>
        <v>0</v>
      </c>
      <c r="S56" s="5"/>
      <c r="T56" s="5">
        <f>SUM(0)</f>
        <v>0</v>
      </c>
      <c r="U56" s="5"/>
      <c r="V56" s="13">
        <f>IF(T$12=0,0,T56/T$12)</f>
        <v>0</v>
      </c>
      <c r="W56" s="5"/>
      <c r="X56" s="5">
        <f>+P56-T56</f>
        <v>0</v>
      </c>
      <c r="Y56" s="5"/>
      <c r="Z56" s="13">
        <f>IF(T56=0,0,X56/T56)</f>
        <v>0</v>
      </c>
    </row>
    <row r="57" spans="1:26" ht="15" customHeight="1" x14ac:dyDescent="0.3">
      <c r="A57" s="10"/>
      <c r="B57" s="11"/>
      <c r="C57" s="11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O57" s="11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3" customFormat="1" ht="15" customHeight="1" x14ac:dyDescent="0.3">
      <c r="A58" s="11"/>
      <c r="B58" s="28" t="s">
        <v>292</v>
      </c>
      <c r="C58" s="28"/>
      <c r="D58" s="21">
        <f>+D16-D18+D56</f>
        <v>-7873.39</v>
      </c>
      <c r="E58" s="15"/>
      <c r="F58" s="22">
        <f>IF(D$12=0,0,D58/D$12)</f>
        <v>0</v>
      </c>
      <c r="G58" s="15"/>
      <c r="H58" s="21">
        <f>+H16-H18+H56</f>
        <v>-7587.9665799999993</v>
      </c>
      <c r="I58" s="15"/>
      <c r="J58" s="22">
        <f>IF(H$12=0,0,H58/H$12)</f>
        <v>0</v>
      </c>
      <c r="K58" s="16"/>
      <c r="L58" s="21">
        <f>+D58-H58</f>
        <v>-285.42342000000099</v>
      </c>
      <c r="M58" s="16"/>
      <c r="N58" s="22">
        <f>IF(H58=0,0,L58/H58)</f>
        <v>3.7615271099415017E-2</v>
      </c>
      <c r="O58" s="27"/>
      <c r="P58" s="21">
        <f>+P16-P18+P56</f>
        <v>-66464.25</v>
      </c>
      <c r="Q58" s="15"/>
      <c r="R58" s="22">
        <f>IF(P$12=0,0,P58/P$12)</f>
        <v>0</v>
      </c>
      <c r="S58" s="15"/>
      <c r="T58" s="21">
        <f>+T16-T18+T56</f>
        <v>-67980.957574999993</v>
      </c>
      <c r="U58" s="15"/>
      <c r="V58" s="22">
        <f>IF(T$12=0,0,T58/T$12)</f>
        <v>0</v>
      </c>
      <c r="W58" s="16"/>
      <c r="X58" s="21">
        <f>+P58-T58</f>
        <v>1516.7075749999931</v>
      </c>
      <c r="Y58" s="16"/>
      <c r="Z58" s="22">
        <f>IF(T58=0,0,X58/T58)</f>
        <v>-2.231077097327859E-2</v>
      </c>
    </row>
    <row r="59" spans="1:26" ht="15" customHeight="1" x14ac:dyDescent="0.3">
      <c r="A59" s="10"/>
      <c r="B59" s="11"/>
      <c r="C59" s="10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3" customFormat="1" ht="15" customHeight="1" x14ac:dyDescent="0.3">
      <c r="A60" s="49"/>
      <c r="B60" s="11" t="s">
        <v>293</v>
      </c>
      <c r="C60" s="11"/>
      <c r="D60" s="5"/>
      <c r="E60" s="5"/>
      <c r="F60" s="13">
        <f>IF(D$12=0,0,D60/D$12)</f>
        <v>0</v>
      </c>
      <c r="G60" s="5"/>
      <c r="H60" s="5"/>
      <c r="I60" s="5"/>
      <c r="J60" s="13">
        <f>IF(H$12=0,0,H60/H$12)</f>
        <v>0</v>
      </c>
      <c r="K60" s="5"/>
      <c r="L60" s="5">
        <f>+D60-H60</f>
        <v>0</v>
      </c>
      <c r="M60" s="5"/>
      <c r="N60" s="13">
        <f>IF(H60=0,0,L60/H60)</f>
        <v>0</v>
      </c>
      <c r="O60" s="11"/>
      <c r="P60" s="5"/>
      <c r="Q60" s="5"/>
      <c r="R60" s="13">
        <f>IF(P$12=0,0,P60/P$12)</f>
        <v>0</v>
      </c>
      <c r="S60" s="5"/>
      <c r="T60" s="5"/>
      <c r="U60" s="5"/>
      <c r="V60" s="13">
        <f>IF(T$12=0,0,T60/T$12)</f>
        <v>0</v>
      </c>
      <c r="W60" s="5"/>
      <c r="X60" s="5">
        <f>+P60-T60</f>
        <v>0</v>
      </c>
      <c r="Y60" s="5"/>
      <c r="Z60" s="13">
        <f>IF(T60=0,0,X60/T60)</f>
        <v>0</v>
      </c>
    </row>
    <row r="61" spans="1:26" ht="15" customHeight="1" x14ac:dyDescent="0.3">
      <c r="A61" s="10"/>
      <c r="B61" s="11"/>
      <c r="C61" s="11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O61" s="11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s="63" customFormat="1" ht="15" customHeight="1" x14ac:dyDescent="0.3">
      <c r="A62" s="11"/>
      <c r="B62" s="28" t="s">
        <v>294</v>
      </c>
      <c r="C62" s="28"/>
      <c r="D62" s="33">
        <f>+D58-D60</f>
        <v>-7873.39</v>
      </c>
      <c r="E62" s="15"/>
      <c r="F62" s="32">
        <f>IF(D$12=0,0,D62/D$12)</f>
        <v>0</v>
      </c>
      <c r="G62" s="15"/>
      <c r="H62" s="33">
        <f>+H58-H60</f>
        <v>-7587.9665799999993</v>
      </c>
      <c r="I62" s="15"/>
      <c r="J62" s="32">
        <f>IF(H$12=0,0,H62/H$12)</f>
        <v>0</v>
      </c>
      <c r="K62" s="16"/>
      <c r="L62" s="33">
        <f>D62-H62</f>
        <v>-285.42342000000099</v>
      </c>
      <c r="M62" s="16"/>
      <c r="N62" s="32">
        <f>IF(H62=0,0,L62/H62)</f>
        <v>3.7615271099415017E-2</v>
      </c>
      <c r="O62" s="27"/>
      <c r="P62" s="33">
        <f>+P58-P60</f>
        <v>-66464.25</v>
      </c>
      <c r="Q62" s="15"/>
      <c r="R62" s="32">
        <f>IF(P$12=0,0,P62/P$12)</f>
        <v>0</v>
      </c>
      <c r="S62" s="15"/>
      <c r="T62" s="33">
        <f>+T58-T60</f>
        <v>-67980.957574999993</v>
      </c>
      <c r="U62" s="15"/>
      <c r="V62" s="32">
        <f>IF(T$12=0,0,T62/T$12)</f>
        <v>0</v>
      </c>
      <c r="W62" s="16"/>
      <c r="X62" s="33">
        <f>P62-T62</f>
        <v>1516.7075749999931</v>
      </c>
      <c r="Y62" s="16"/>
      <c r="Z62" s="32">
        <f>IF(T62=0,0,X62/T62)</f>
        <v>-2.231077097327859E-2</v>
      </c>
    </row>
    <row r="63" spans="1:26" ht="15" customHeight="1" x14ac:dyDescent="0.3">
      <c r="A63" s="10"/>
      <c r="B63" s="10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s="63" customFormat="1" ht="15" customHeight="1" x14ac:dyDescent="0.3">
      <c r="A65" s="11"/>
      <c r="B65" s="28" t="s">
        <v>297</v>
      </c>
      <c r="C65" s="28"/>
      <c r="D65" s="34">
        <f>SUM(D62:D64)</f>
        <v>-7873.39</v>
      </c>
      <c r="E65" s="15"/>
      <c r="F65" s="30">
        <f>IF(D$12=0,0,D65/D$12)</f>
        <v>0</v>
      </c>
      <c r="G65" s="15"/>
      <c r="H65" s="34">
        <f>SUM(H62:H64)</f>
        <v>-7587.9665799999993</v>
      </c>
      <c r="I65" s="15"/>
      <c r="J65" s="30">
        <f>IF(H$12=0,0,H65/H$12)</f>
        <v>0</v>
      </c>
      <c r="K65" s="16"/>
      <c r="L65" s="34">
        <f>+D65-H65</f>
        <v>-285.42342000000099</v>
      </c>
      <c r="M65" s="16"/>
      <c r="N65" s="30">
        <f>IF(H65=0,0,L65/H65)</f>
        <v>3.7615271099415017E-2</v>
      </c>
      <c r="O65" s="27"/>
      <c r="P65" s="34">
        <f>SUM(P62:P64)</f>
        <v>-66464.25</v>
      </c>
      <c r="Q65" s="15"/>
      <c r="R65" s="30">
        <f>IF(P$12=0,0,P65/P$12)</f>
        <v>0</v>
      </c>
      <c r="S65" s="15"/>
      <c r="T65" s="34">
        <f>SUM(T62:T64)</f>
        <v>-67980.957574999993</v>
      </c>
      <c r="U65" s="15"/>
      <c r="V65" s="30">
        <f>IF(T$12=0,0,T65/T$12)</f>
        <v>0</v>
      </c>
      <c r="W65" s="16"/>
      <c r="X65" s="34">
        <f>+P65-T65</f>
        <v>1516.7075749999931</v>
      </c>
      <c r="Y65" s="16"/>
      <c r="Z65" s="30">
        <f>IF(T65=0,0,X65/T65)</f>
        <v>-2.231077097327859E-2</v>
      </c>
    </row>
    <row r="66" spans="1:26" ht="15" customHeight="1" x14ac:dyDescent="0.3">
      <c r="A66" s="10"/>
      <c r="C66" s="10"/>
      <c r="D66" s="19"/>
      <c r="E66" s="19"/>
      <c r="G66" s="19"/>
      <c r="H66" s="19"/>
      <c r="I66" s="19"/>
      <c r="J66" s="41"/>
      <c r="K66" s="19"/>
      <c r="L66" s="19"/>
      <c r="M66" s="19"/>
      <c r="P66" s="19"/>
      <c r="Q66" s="19"/>
      <c r="R66" s="41"/>
      <c r="S66" s="19"/>
      <c r="T66" s="19"/>
      <c r="U66" s="19"/>
      <c r="V66" s="41"/>
      <c r="W66" s="19"/>
      <c r="X66" s="19"/>
    </row>
    <row r="67" spans="1:26" ht="15" customHeight="1" x14ac:dyDescent="0.3">
      <c r="A67" s="10"/>
      <c r="B67" s="57">
        <v>44634.883430555557</v>
      </c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6" ht="15" customHeight="1" x14ac:dyDescent="0.3">
      <c r="A68" s="10"/>
      <c r="B68" s="56" t="s">
        <v>298</v>
      </c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6" ht="15" customHeight="1" x14ac:dyDescent="0.3">
      <c r="A69" s="10"/>
      <c r="B69" s="54"/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  <row r="70" spans="1:26" ht="15" customHeight="1" x14ac:dyDescent="0.3">
      <c r="D70" s="19"/>
      <c r="E70" s="19"/>
      <c r="G70" s="19"/>
      <c r="H70" s="19"/>
      <c r="I70" s="19"/>
      <c r="J70" s="41"/>
      <c r="K70" s="19"/>
      <c r="L70" s="19"/>
      <c r="M70" s="19"/>
      <c r="P70" s="19"/>
      <c r="Q70" s="19"/>
      <c r="R70" s="41"/>
      <c r="S70" s="19"/>
      <c r="T70" s="19"/>
      <c r="U70" s="19"/>
      <c r="V70" s="41"/>
      <c r="W70" s="19"/>
      <c r="X70" s="19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74BE9-6077-8455-505E-4DD5F36C89E1}">
  <sheetPr>
    <tabColor rgb="FF92D050"/>
    <outlinePr summaryBelow="0" summaryRight="0"/>
  </sheetPr>
  <dimension ref="A2:Z6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","206"," - ","Communications")</f>
        <v>Department 206 - Communications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7505.9599999999991</v>
      </c>
      <c r="E18" s="23"/>
      <c r="F18" s="29">
        <f t="shared" ref="F18:F53" si="0">IF(D$12=0,0,D18/D$12)</f>
        <v>0</v>
      </c>
      <c r="G18" s="23"/>
      <c r="H18" s="23" cm="1">
        <f t="array" ref="H18">SUM(OSRRefH22x_0)</f>
        <v>12236.75742769231</v>
      </c>
      <c r="I18" s="23"/>
      <c r="J18" s="29">
        <f t="shared" ref="J18:J53" si="1">IF(H$12=0,0,H18/H$12)</f>
        <v>0</v>
      </c>
      <c r="K18" s="5"/>
      <c r="L18" s="23">
        <f t="shared" ref="L18:L53" si="2">+D18-H18</f>
        <v>-4730.7974276923105</v>
      </c>
      <c r="M18" s="5"/>
      <c r="N18" s="29">
        <f t="shared" ref="N18:N53" si="3">IF(H18=0,0,L18/H18)</f>
        <v>-0.38660547580900084</v>
      </c>
      <c r="O18" s="11"/>
      <c r="P18" s="23" cm="1">
        <f t="array" ref="P18">SUM(OSRRefP22x_0)</f>
        <v>68394.22</v>
      </c>
      <c r="Q18" s="23"/>
      <c r="R18" s="29">
        <f t="shared" ref="R18:R53" si="4">IF(P$12=0,0,P18/P$12)</f>
        <v>0</v>
      </c>
      <c r="S18" s="23"/>
      <c r="T18" s="23" cm="1">
        <f t="array" ref="T18">SUM(OSRRefT22x_0)</f>
        <v>107060.35709230771</v>
      </c>
      <c r="U18" s="23"/>
      <c r="V18" s="29">
        <f t="shared" ref="V18:V53" si="5">IF(T$12=0,0,T18/T$12)</f>
        <v>0</v>
      </c>
      <c r="W18" s="5"/>
      <c r="X18" s="23">
        <f t="shared" ref="X18:X53" si="6">+P18-T18</f>
        <v>-38666.137092307705</v>
      </c>
      <c r="Y18" s="5"/>
      <c r="Z18" s="29">
        <f t="shared" ref="Z18:Z53" si="7">IF(T18=0,0,X18/T18)</f>
        <v>-0.36116204113694172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1221.8999999999999</v>
      </c>
      <c r="E19" s="2"/>
      <c r="F19" s="6">
        <f t="shared" si="0"/>
        <v>0</v>
      </c>
      <c r="G19" s="2"/>
      <c r="H19" s="2">
        <f>SUM(OSRRefH22_0x_0)</f>
        <v>2192.0774276923098</v>
      </c>
      <c r="I19" s="2"/>
      <c r="J19" s="6">
        <f t="shared" si="1"/>
        <v>0</v>
      </c>
      <c r="K19" s="2"/>
      <c r="L19" s="2">
        <f t="shared" si="2"/>
        <v>-970.17742769230995</v>
      </c>
      <c r="M19" s="2"/>
      <c r="N19" s="6">
        <f t="shared" si="3"/>
        <v>-0.44258355815180112</v>
      </c>
      <c r="O19" s="14"/>
      <c r="P19" s="2">
        <f>SUM(OSRRefP22_0x_0)</f>
        <v>14385.250000000002</v>
      </c>
      <c r="Q19" s="2"/>
      <c r="R19" s="6">
        <f t="shared" si="4"/>
        <v>0</v>
      </c>
      <c r="S19" s="2"/>
      <c r="T19" s="2">
        <f>SUM(OSRRefT22_0x_0)</f>
        <v>19686.157092307702</v>
      </c>
      <c r="U19" s="2"/>
      <c r="V19" s="6">
        <f t="shared" si="5"/>
        <v>0</v>
      </c>
      <c r="W19" s="2"/>
      <c r="X19" s="2">
        <f t="shared" si="6"/>
        <v>-5300.9070923076997</v>
      </c>
      <c r="Y19" s="2"/>
      <c r="Z19" s="6">
        <f t="shared" si="7"/>
        <v>-0.26927079101583573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400.55</v>
      </c>
      <c r="E20" s="3"/>
      <c r="F20" s="7">
        <f t="shared" si="0"/>
        <v>0</v>
      </c>
      <c r="G20" s="3"/>
      <c r="H20" s="8">
        <v>378.36432000000002</v>
      </c>
      <c r="I20" s="3"/>
      <c r="J20" s="7">
        <f t="shared" si="1"/>
        <v>0</v>
      </c>
      <c r="K20" s="3"/>
      <c r="L20" s="8">
        <f t="shared" si="2"/>
        <v>22.185679999999991</v>
      </c>
      <c r="M20" s="3"/>
      <c r="N20" s="7">
        <f t="shared" si="3"/>
        <v>5.8635761426975963E-2</v>
      </c>
      <c r="O20" s="12"/>
      <c r="P20" s="8">
        <v>3378.05</v>
      </c>
      <c r="Q20" s="3"/>
      <c r="R20" s="7">
        <f t="shared" si="4"/>
        <v>0</v>
      </c>
      <c r="S20" s="3"/>
      <c r="T20" s="8">
        <v>3947.4173999999998</v>
      </c>
      <c r="U20" s="3"/>
      <c r="V20" s="7">
        <f t="shared" si="5"/>
        <v>0</v>
      </c>
      <c r="W20" s="3"/>
      <c r="X20" s="8">
        <f t="shared" si="6"/>
        <v>-569.36739999999963</v>
      </c>
      <c r="Y20" s="3"/>
      <c r="Z20" s="7">
        <f t="shared" si="7"/>
        <v>-0.14423795162882944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67.45</v>
      </c>
      <c r="E21" s="3"/>
      <c r="F21" s="7">
        <f t="shared" si="0"/>
        <v>0</v>
      </c>
      <c r="G21" s="3"/>
      <c r="H21" s="8">
        <v>23.2624</v>
      </c>
      <c r="I21" s="3"/>
      <c r="J21" s="7">
        <f t="shared" si="1"/>
        <v>0</v>
      </c>
      <c r="K21" s="3"/>
      <c r="L21" s="8">
        <f t="shared" si="2"/>
        <v>44.187600000000003</v>
      </c>
      <c r="M21" s="3"/>
      <c r="N21" s="7">
        <f t="shared" si="3"/>
        <v>1.8995288534287091</v>
      </c>
      <c r="O21" s="12"/>
      <c r="P21" s="8">
        <v>669.13</v>
      </c>
      <c r="Q21" s="3"/>
      <c r="R21" s="7">
        <f t="shared" si="4"/>
        <v>0</v>
      </c>
      <c r="S21" s="3"/>
      <c r="T21" s="8">
        <v>203.54599999999999</v>
      </c>
      <c r="U21" s="3"/>
      <c r="V21" s="7">
        <f t="shared" si="5"/>
        <v>0</v>
      </c>
      <c r="W21" s="3"/>
      <c r="X21" s="8">
        <f t="shared" si="6"/>
        <v>465.584</v>
      </c>
      <c r="Y21" s="3"/>
      <c r="Z21" s="7">
        <f t="shared" si="7"/>
        <v>2.2873650182268381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39.83</v>
      </c>
      <c r="E22" s="3"/>
      <c r="F22" s="7">
        <f t="shared" si="0"/>
        <v>0</v>
      </c>
      <c r="G22" s="3"/>
      <c r="H22" s="8">
        <v>1275.6923076923099</v>
      </c>
      <c r="I22" s="3"/>
      <c r="J22" s="7">
        <f t="shared" si="1"/>
        <v>0</v>
      </c>
      <c r="K22" s="3"/>
      <c r="L22" s="8">
        <f t="shared" si="2"/>
        <v>-1235.86230769231</v>
      </c>
      <c r="M22" s="3"/>
      <c r="N22" s="7">
        <f t="shared" si="3"/>
        <v>-0.96877773757838892</v>
      </c>
      <c r="O22" s="12"/>
      <c r="P22" s="8">
        <v>4296.13</v>
      </c>
      <c r="Q22" s="3"/>
      <c r="R22" s="7">
        <f t="shared" si="4"/>
        <v>0</v>
      </c>
      <c r="S22" s="3"/>
      <c r="T22" s="8">
        <v>11162.307692307701</v>
      </c>
      <c r="U22" s="3"/>
      <c r="V22" s="7">
        <f t="shared" si="5"/>
        <v>0</v>
      </c>
      <c r="W22" s="3"/>
      <c r="X22" s="8">
        <f t="shared" si="6"/>
        <v>-6866.1776923077005</v>
      </c>
      <c r="Y22" s="3"/>
      <c r="Z22" s="7">
        <f t="shared" si="7"/>
        <v>-0.61512170077871986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13.59</v>
      </c>
      <c r="E23" s="3"/>
      <c r="F23" s="7">
        <f t="shared" si="0"/>
        <v>0</v>
      </c>
      <c r="G23" s="3"/>
      <c r="H23" s="8">
        <v>15.7584</v>
      </c>
      <c r="I23" s="3"/>
      <c r="J23" s="7">
        <f t="shared" si="1"/>
        <v>0</v>
      </c>
      <c r="K23" s="3"/>
      <c r="L23" s="8">
        <f t="shared" si="2"/>
        <v>-2.1684000000000001</v>
      </c>
      <c r="M23" s="3"/>
      <c r="N23" s="7">
        <f t="shared" si="3"/>
        <v>-0.13760280231495584</v>
      </c>
      <c r="O23" s="12"/>
      <c r="P23" s="8">
        <v>134.87</v>
      </c>
      <c r="Q23" s="3"/>
      <c r="R23" s="7">
        <f t="shared" si="4"/>
        <v>0</v>
      </c>
      <c r="S23" s="3"/>
      <c r="T23" s="8">
        <v>137.886</v>
      </c>
      <c r="U23" s="3"/>
      <c r="V23" s="7">
        <f t="shared" si="5"/>
        <v>0</v>
      </c>
      <c r="W23" s="3"/>
      <c r="X23" s="8">
        <f t="shared" si="6"/>
        <v>-3.0159999999999911</v>
      </c>
      <c r="Y23" s="3"/>
      <c r="Z23" s="7">
        <f t="shared" si="7"/>
        <v>-2.1873141580726042E-2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287.66000000000003</v>
      </c>
      <c r="E26" s="3"/>
      <c r="F26" s="7">
        <f t="shared" si="0"/>
        <v>0</v>
      </c>
      <c r="G26" s="3"/>
      <c r="H26" s="8">
        <v>148.32</v>
      </c>
      <c r="I26" s="3"/>
      <c r="J26" s="7">
        <f t="shared" si="1"/>
        <v>0</v>
      </c>
      <c r="K26" s="3"/>
      <c r="L26" s="8">
        <f t="shared" si="2"/>
        <v>139.34000000000003</v>
      </c>
      <c r="M26" s="3"/>
      <c r="N26" s="7">
        <f t="shared" si="3"/>
        <v>0.93945523193096037</v>
      </c>
      <c r="O26" s="12"/>
      <c r="P26" s="8">
        <v>2452.14</v>
      </c>
      <c r="Q26" s="3"/>
      <c r="R26" s="7">
        <f t="shared" si="4"/>
        <v>0</v>
      </c>
      <c r="S26" s="3"/>
      <c r="T26" s="8">
        <v>1297.8</v>
      </c>
      <c r="U26" s="3"/>
      <c r="V26" s="7">
        <f t="shared" si="5"/>
        <v>0</v>
      </c>
      <c r="W26" s="3"/>
      <c r="X26" s="8">
        <f t="shared" si="6"/>
        <v>1154.3399999999999</v>
      </c>
      <c r="Y26" s="3"/>
      <c r="Z26" s="7">
        <f t="shared" si="7"/>
        <v>0.88945908460471568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230.26</v>
      </c>
      <c r="E27" s="3"/>
      <c r="F27" s="7">
        <f t="shared" si="0"/>
        <v>0</v>
      </c>
      <c r="G27" s="3"/>
      <c r="H27" s="8">
        <v>175.68</v>
      </c>
      <c r="I27" s="3"/>
      <c r="J27" s="7">
        <f t="shared" si="1"/>
        <v>0</v>
      </c>
      <c r="K27" s="3"/>
      <c r="L27" s="8">
        <f t="shared" si="2"/>
        <v>54.579999999999984</v>
      </c>
      <c r="M27" s="3"/>
      <c r="N27" s="7">
        <f t="shared" si="3"/>
        <v>0.31067850637522759</v>
      </c>
      <c r="O27" s="12"/>
      <c r="P27" s="8">
        <v>2226.75</v>
      </c>
      <c r="Q27" s="3"/>
      <c r="R27" s="7">
        <f t="shared" si="4"/>
        <v>0</v>
      </c>
      <c r="S27" s="3"/>
      <c r="T27" s="8">
        <v>1537.2</v>
      </c>
      <c r="U27" s="3"/>
      <c r="V27" s="7">
        <f t="shared" si="5"/>
        <v>0</v>
      </c>
      <c r="W27" s="3"/>
      <c r="X27" s="8">
        <f t="shared" si="6"/>
        <v>689.55</v>
      </c>
      <c r="Y27" s="3"/>
      <c r="Z27" s="7">
        <f t="shared" si="7"/>
        <v>0.44857533177205305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182.56</v>
      </c>
      <c r="E28" s="3"/>
      <c r="F28" s="7">
        <f t="shared" si="0"/>
        <v>0</v>
      </c>
      <c r="G28" s="3"/>
      <c r="H28" s="8">
        <v>175</v>
      </c>
      <c r="I28" s="3"/>
      <c r="J28" s="7">
        <f t="shared" si="1"/>
        <v>0</v>
      </c>
      <c r="K28" s="3"/>
      <c r="L28" s="8">
        <f t="shared" si="2"/>
        <v>7.5600000000000023</v>
      </c>
      <c r="M28" s="3"/>
      <c r="N28" s="7">
        <f t="shared" si="3"/>
        <v>4.3200000000000016E-2</v>
      </c>
      <c r="O28" s="12"/>
      <c r="P28" s="8">
        <v>1228.18</v>
      </c>
      <c r="Q28" s="3"/>
      <c r="R28" s="7">
        <f t="shared" si="4"/>
        <v>0</v>
      </c>
      <c r="S28" s="3"/>
      <c r="T28" s="8">
        <v>1400</v>
      </c>
      <c r="U28" s="3"/>
      <c r="V28" s="7">
        <f t="shared" si="5"/>
        <v>0</v>
      </c>
      <c r="W28" s="3"/>
      <c r="X28" s="8">
        <f t="shared" si="6"/>
        <v>-171.81999999999994</v>
      </c>
      <c r="Y28" s="3"/>
      <c r="Z28" s="7">
        <f t="shared" si="7"/>
        <v>-0.12272857142857138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6072.6399999999994</v>
      </c>
      <c r="E29" s="2"/>
      <c r="F29" s="6">
        <f t="shared" si="0"/>
        <v>0</v>
      </c>
      <c r="G29" s="2"/>
      <c r="H29" s="2">
        <f>SUM(OSRRefH22_1x_0)</f>
        <v>7355.68</v>
      </c>
      <c r="I29" s="2"/>
      <c r="J29" s="6">
        <f t="shared" si="1"/>
        <v>0</v>
      </c>
      <c r="K29" s="2"/>
      <c r="L29" s="2">
        <f t="shared" si="2"/>
        <v>-1283.0400000000009</v>
      </c>
      <c r="M29" s="2"/>
      <c r="N29" s="6">
        <f t="shared" si="3"/>
        <v>-0.17442846888391023</v>
      </c>
      <c r="O29" s="14"/>
      <c r="P29" s="2">
        <f>SUM(OSRRefP22_1x_0)</f>
        <v>52132.600000000006</v>
      </c>
      <c r="Q29" s="2"/>
      <c r="R29" s="6">
        <f t="shared" si="4"/>
        <v>0</v>
      </c>
      <c r="S29" s="2"/>
      <c r="T29" s="2">
        <f>SUM(OSRRefT22_1x_0)</f>
        <v>64362.2</v>
      </c>
      <c r="U29" s="2"/>
      <c r="V29" s="6">
        <f t="shared" si="5"/>
        <v>0</v>
      </c>
      <c r="W29" s="2"/>
      <c r="X29" s="2">
        <f t="shared" si="6"/>
        <v>-12229.599999999991</v>
      </c>
      <c r="Y29" s="2"/>
      <c r="Z29" s="6">
        <f t="shared" si="7"/>
        <v>-0.19001214998865781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8"/>
      <c r="E31" s="3"/>
      <c r="F31" s="7">
        <f t="shared" si="0"/>
        <v>0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>
        <v>5387.78</v>
      </c>
      <c r="E33" s="3"/>
      <c r="F33" s="7">
        <f t="shared" si="0"/>
        <v>0</v>
      </c>
      <c r="G33" s="3"/>
      <c r="H33" s="8">
        <v>4795.68</v>
      </c>
      <c r="I33" s="3"/>
      <c r="J33" s="7">
        <f t="shared" si="1"/>
        <v>0</v>
      </c>
      <c r="K33" s="3"/>
      <c r="L33" s="8">
        <f t="shared" si="2"/>
        <v>592.09999999999945</v>
      </c>
      <c r="M33" s="3"/>
      <c r="N33" s="7">
        <f t="shared" si="3"/>
        <v>0.12346528542354773</v>
      </c>
      <c r="O33" s="12"/>
      <c r="P33" s="8">
        <v>39972.54</v>
      </c>
      <c r="Q33" s="3"/>
      <c r="R33" s="7">
        <f t="shared" si="4"/>
        <v>0</v>
      </c>
      <c r="S33" s="3"/>
      <c r="T33" s="8">
        <v>41962.2</v>
      </c>
      <c r="U33" s="3"/>
      <c r="V33" s="7">
        <f t="shared" si="5"/>
        <v>0</v>
      </c>
      <c r="W33" s="3"/>
      <c r="X33" s="8">
        <f t="shared" si="6"/>
        <v>-1989.6599999999962</v>
      </c>
      <c r="Y33" s="3"/>
      <c r="Z33" s="7">
        <f t="shared" si="7"/>
        <v>-4.7415531120865835E-2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>
        <v>684.86</v>
      </c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684.86</v>
      </c>
      <c r="M34" s="3"/>
      <c r="N34" s="7">
        <f t="shared" si="3"/>
        <v>0</v>
      </c>
      <c r="O34" s="12"/>
      <c r="P34" s="8">
        <v>684.86</v>
      </c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684.86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0</v>
      </c>
      <c r="Q36" s="3"/>
      <c r="R36" s="7">
        <f t="shared" si="4"/>
        <v>0</v>
      </c>
      <c r="S36" s="3"/>
      <c r="T36" s="8">
        <v>8320</v>
      </c>
      <c r="U36" s="3"/>
      <c r="V36" s="7">
        <f t="shared" si="5"/>
        <v>0</v>
      </c>
      <c r="W36" s="3"/>
      <c r="X36" s="8">
        <f t="shared" si="6"/>
        <v>-8320</v>
      </c>
      <c r="Y36" s="3"/>
      <c r="Z36" s="7">
        <f t="shared" si="7"/>
        <v>-1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2560</v>
      </c>
      <c r="I37" s="3"/>
      <c r="J37" s="7">
        <f t="shared" si="1"/>
        <v>0</v>
      </c>
      <c r="K37" s="3"/>
      <c r="L37" s="8">
        <f t="shared" si="2"/>
        <v>-2560</v>
      </c>
      <c r="M37" s="3"/>
      <c r="N37" s="7">
        <f t="shared" si="3"/>
        <v>-1</v>
      </c>
      <c r="O37" s="12"/>
      <c r="P37" s="8">
        <v>11475.2</v>
      </c>
      <c r="Q37" s="3"/>
      <c r="R37" s="7">
        <f t="shared" si="4"/>
        <v>0</v>
      </c>
      <c r="S37" s="3"/>
      <c r="T37" s="8">
        <v>14080</v>
      </c>
      <c r="U37" s="3"/>
      <c r="V37" s="7">
        <f t="shared" si="5"/>
        <v>0</v>
      </c>
      <c r="W37" s="3"/>
      <c r="X37" s="8">
        <f t="shared" si="6"/>
        <v>-2604.7999999999993</v>
      </c>
      <c r="Y37" s="3"/>
      <c r="Z37" s="7">
        <f t="shared" si="7"/>
        <v>-0.18499999999999994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173.21</v>
      </c>
      <c r="E40" s="2"/>
      <c r="F40" s="6">
        <f t="shared" si="0"/>
        <v>0</v>
      </c>
      <c r="G40" s="2"/>
      <c r="H40" s="2">
        <f>SUM(OSRRefH22_2x_0)</f>
        <v>417</v>
      </c>
      <c r="I40" s="2"/>
      <c r="J40" s="6">
        <f t="shared" si="1"/>
        <v>0</v>
      </c>
      <c r="K40" s="2"/>
      <c r="L40" s="2">
        <f t="shared" si="2"/>
        <v>-243.79</v>
      </c>
      <c r="M40" s="2"/>
      <c r="N40" s="6">
        <f t="shared" si="3"/>
        <v>-0.58462829736211031</v>
      </c>
      <c r="O40" s="14"/>
      <c r="P40" s="2">
        <f>SUM(OSRRefP22_2x_0)</f>
        <v>1439.28</v>
      </c>
      <c r="Q40" s="2"/>
      <c r="R40" s="6">
        <f t="shared" si="4"/>
        <v>0</v>
      </c>
      <c r="S40" s="2"/>
      <c r="T40" s="2">
        <f>SUM(OSRRefT22_2x_0)</f>
        <v>3336</v>
      </c>
      <c r="U40" s="2"/>
      <c r="V40" s="6">
        <f t="shared" si="5"/>
        <v>0</v>
      </c>
      <c r="W40" s="2"/>
      <c r="X40" s="2">
        <f t="shared" si="6"/>
        <v>-1896.72</v>
      </c>
      <c r="Y40" s="2"/>
      <c r="Z40" s="6">
        <f t="shared" si="7"/>
        <v>-0.56856115107913674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>
        <v>173.21</v>
      </c>
      <c r="E41" s="3"/>
      <c r="F41" s="7">
        <f t="shared" si="0"/>
        <v>0</v>
      </c>
      <c r="G41" s="3"/>
      <c r="H41" s="8">
        <v>417</v>
      </c>
      <c r="I41" s="3"/>
      <c r="J41" s="7">
        <f t="shared" si="1"/>
        <v>0</v>
      </c>
      <c r="K41" s="3"/>
      <c r="L41" s="8">
        <f t="shared" si="2"/>
        <v>-243.79</v>
      </c>
      <c r="M41" s="3"/>
      <c r="N41" s="7">
        <f t="shared" si="3"/>
        <v>-0.58462829736211031</v>
      </c>
      <c r="O41" s="12"/>
      <c r="P41" s="8">
        <v>1439.28</v>
      </c>
      <c r="Q41" s="3"/>
      <c r="R41" s="7">
        <f t="shared" si="4"/>
        <v>0</v>
      </c>
      <c r="S41" s="3"/>
      <c r="T41" s="8">
        <v>3336</v>
      </c>
      <c r="U41" s="3"/>
      <c r="V41" s="7">
        <f t="shared" si="5"/>
        <v>0</v>
      </c>
      <c r="W41" s="3"/>
      <c r="X41" s="8">
        <f t="shared" si="6"/>
        <v>-1896.72</v>
      </c>
      <c r="Y41" s="3"/>
      <c r="Z41" s="7">
        <f t="shared" si="7"/>
        <v>-0.56856115107913674</v>
      </c>
    </row>
    <row r="42" spans="1:26" s="69" customFormat="1" ht="15" customHeight="1" outlineLevel="1" collapsed="1" x14ac:dyDescent="0.3">
      <c r="A42" s="25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0</v>
      </c>
      <c r="Q42" s="2"/>
      <c r="R42" s="6">
        <f t="shared" si="4"/>
        <v>0</v>
      </c>
      <c r="S42" s="2"/>
      <c r="T42" s="2">
        <f>SUM(OSRRefT22_3x_0)</f>
        <v>500</v>
      </c>
      <c r="U42" s="2"/>
      <c r="V42" s="6">
        <f t="shared" si="5"/>
        <v>0</v>
      </c>
      <c r="W42" s="2"/>
      <c r="X42" s="2">
        <f t="shared" si="6"/>
        <v>-500</v>
      </c>
      <c r="Y42" s="2"/>
      <c r="Z42" s="6">
        <f t="shared" si="7"/>
        <v>-1</v>
      </c>
    </row>
    <row r="43" spans="1:26" s="70" customFormat="1" ht="15" hidden="1" customHeight="1" outlineLevel="2" x14ac:dyDescent="0.3">
      <c r="A43" s="26"/>
      <c r="B43" s="12" t="str">
        <f>CONCATENATE("          ","6277"," - ","EMPLOYEE APPRECIATION")</f>
        <v xml:space="preserve">          6277 - EMPLOYEE APPRECIATION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500</v>
      </c>
      <c r="U43" s="3"/>
      <c r="V43" s="7">
        <f t="shared" si="5"/>
        <v>0</v>
      </c>
      <c r="W43" s="3"/>
      <c r="X43" s="8">
        <f t="shared" si="6"/>
        <v>-500</v>
      </c>
      <c r="Y43" s="3"/>
      <c r="Z43" s="7">
        <f t="shared" si="7"/>
        <v>-1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1600</v>
      </c>
      <c r="I44" s="2"/>
      <c r="J44" s="6">
        <f t="shared" si="1"/>
        <v>0</v>
      </c>
      <c r="K44" s="2"/>
      <c r="L44" s="2">
        <f t="shared" si="2"/>
        <v>-1600</v>
      </c>
      <c r="M44" s="2"/>
      <c r="N44" s="6">
        <f t="shared" si="3"/>
        <v>-1</v>
      </c>
      <c r="O44" s="14"/>
      <c r="P44" s="2">
        <f>SUM(OSRRefP22_4x_0)</f>
        <v>63.36</v>
      </c>
      <c r="Q44" s="2"/>
      <c r="R44" s="6">
        <f t="shared" si="4"/>
        <v>0</v>
      </c>
      <c r="S44" s="2"/>
      <c r="T44" s="2">
        <f>SUM(OSRRefT22_4x_0)</f>
        <v>12800</v>
      </c>
      <c r="U44" s="2"/>
      <c r="V44" s="6">
        <f t="shared" si="5"/>
        <v>0</v>
      </c>
      <c r="W44" s="2"/>
      <c r="X44" s="2">
        <f t="shared" si="6"/>
        <v>-12736.64</v>
      </c>
      <c r="Y44" s="2"/>
      <c r="Z44" s="6">
        <f t="shared" si="7"/>
        <v>-0.99504999999999999</v>
      </c>
    </row>
    <row r="45" spans="1:26" s="70" customFormat="1" ht="15" hidden="1" customHeight="1" outlineLevel="2" x14ac:dyDescent="0.3">
      <c r="A45" s="26"/>
      <c r="B45" s="12" t="str">
        <f>CONCATENATE("          ","6371"," - ","COMPUTER SOFTWARE MAINTENANCE")</f>
        <v xml:space="preserve">          6371 - COMPUTER SOFTWARE MAINTENANCE</v>
      </c>
      <c r="C45" s="12"/>
      <c r="D45" s="8"/>
      <c r="E45" s="3"/>
      <c r="F45" s="7">
        <f t="shared" si="0"/>
        <v>0</v>
      </c>
      <c r="G45" s="3"/>
      <c r="H45" s="8">
        <v>1600</v>
      </c>
      <c r="I45" s="3"/>
      <c r="J45" s="7">
        <f t="shared" si="1"/>
        <v>0</v>
      </c>
      <c r="K45" s="3"/>
      <c r="L45" s="8">
        <f t="shared" si="2"/>
        <v>-1600</v>
      </c>
      <c r="M45" s="3"/>
      <c r="N45" s="7">
        <f t="shared" si="3"/>
        <v>-1</v>
      </c>
      <c r="O45" s="12"/>
      <c r="P45" s="8"/>
      <c r="Q45" s="3"/>
      <c r="R45" s="7">
        <f t="shared" si="4"/>
        <v>0</v>
      </c>
      <c r="S45" s="3"/>
      <c r="T45" s="8">
        <v>12800</v>
      </c>
      <c r="U45" s="3"/>
      <c r="V45" s="7">
        <f t="shared" si="5"/>
        <v>0</v>
      </c>
      <c r="W45" s="3"/>
      <c r="X45" s="8">
        <f t="shared" si="6"/>
        <v>-12800</v>
      </c>
      <c r="Y45" s="3"/>
      <c r="Z45" s="7">
        <f t="shared" si="7"/>
        <v>-1</v>
      </c>
    </row>
    <row r="46" spans="1:26" s="70" customFormat="1" ht="15" hidden="1" customHeight="1" outlineLevel="2" x14ac:dyDescent="0.3">
      <c r="A46" s="26"/>
      <c r="B46" s="12" t="str">
        <f>CONCATENATE("          ","6375"," - ","OUTSIDE REPAIRS &amp; MAINTENANCE")</f>
        <v xml:space="preserve">          6375 - OUTSIDE REPAIRS &amp; MAINTENANCE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63.36</v>
      </c>
      <c r="Q46" s="3"/>
      <c r="R46" s="7">
        <f t="shared" si="4"/>
        <v>0</v>
      </c>
      <c r="S46" s="3"/>
      <c r="T46" s="8"/>
      <c r="U46" s="3"/>
      <c r="V46" s="7">
        <f t="shared" si="5"/>
        <v>0</v>
      </c>
      <c r="W46" s="3"/>
      <c r="X46" s="8">
        <f t="shared" si="6"/>
        <v>63.36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","Supplies                                          ")</f>
        <v xml:space="preserve">     Supplies                                          </v>
      </c>
      <c r="C47" s="14"/>
      <c r="D47" s="2">
        <f>SUM(OSRRefD22_5x_0)</f>
        <v>2.21</v>
      </c>
      <c r="E47" s="2"/>
      <c r="F47" s="6">
        <f t="shared" si="0"/>
        <v>0</v>
      </c>
      <c r="G47" s="2"/>
      <c r="H47" s="2">
        <f>SUM(OSRRefH22_5x_0)</f>
        <v>600</v>
      </c>
      <c r="I47" s="2"/>
      <c r="J47" s="6">
        <f t="shared" si="1"/>
        <v>0</v>
      </c>
      <c r="K47" s="2"/>
      <c r="L47" s="2">
        <f t="shared" si="2"/>
        <v>-597.79</v>
      </c>
      <c r="M47" s="2"/>
      <c r="N47" s="6">
        <f t="shared" si="3"/>
        <v>-0.99631666666666663</v>
      </c>
      <c r="O47" s="14"/>
      <c r="P47" s="2">
        <f>SUM(OSRRefP22_5x_0)</f>
        <v>13.33</v>
      </c>
      <c r="Q47" s="2"/>
      <c r="R47" s="6">
        <f t="shared" si="4"/>
        <v>0</v>
      </c>
      <c r="S47" s="2"/>
      <c r="T47" s="2">
        <f>SUM(OSRRefT22_5x_0)</f>
        <v>4800</v>
      </c>
      <c r="U47" s="2"/>
      <c r="V47" s="6">
        <f t="shared" si="5"/>
        <v>0</v>
      </c>
      <c r="W47" s="2"/>
      <c r="X47" s="2">
        <f t="shared" si="6"/>
        <v>-4786.67</v>
      </c>
      <c r="Y47" s="2"/>
      <c r="Z47" s="6">
        <f t="shared" si="7"/>
        <v>-0.99722291666666674</v>
      </c>
    </row>
    <row r="48" spans="1:26" s="70" customFormat="1" ht="15" hidden="1" customHeight="1" outlineLevel="2" x14ac:dyDescent="0.3">
      <c r="A48" s="26"/>
      <c r="B48" s="12" t="str">
        <f>CONCATENATE("          ","6241"," - ","OFFICE EXPENSE")</f>
        <v xml:space="preserve">          6241 - OFFICE EXPENSE</v>
      </c>
      <c r="C48" s="12"/>
      <c r="D48" s="8">
        <v>2.21</v>
      </c>
      <c r="E48" s="3"/>
      <c r="F48" s="7">
        <f t="shared" si="0"/>
        <v>0</v>
      </c>
      <c r="G48" s="3"/>
      <c r="H48" s="8">
        <v>600</v>
      </c>
      <c r="I48" s="3"/>
      <c r="J48" s="7">
        <f t="shared" si="1"/>
        <v>0</v>
      </c>
      <c r="K48" s="3"/>
      <c r="L48" s="8">
        <f t="shared" si="2"/>
        <v>-597.79</v>
      </c>
      <c r="M48" s="3"/>
      <c r="N48" s="7">
        <f t="shared" si="3"/>
        <v>-0.99631666666666663</v>
      </c>
      <c r="O48" s="12"/>
      <c r="P48" s="8">
        <v>13.33</v>
      </c>
      <c r="Q48" s="3"/>
      <c r="R48" s="7">
        <f t="shared" si="4"/>
        <v>0</v>
      </c>
      <c r="S48" s="3"/>
      <c r="T48" s="8">
        <v>4800</v>
      </c>
      <c r="U48" s="3"/>
      <c r="V48" s="7">
        <f t="shared" si="5"/>
        <v>0</v>
      </c>
      <c r="W48" s="3"/>
      <c r="X48" s="8">
        <f t="shared" si="6"/>
        <v>-4786.67</v>
      </c>
      <c r="Y48" s="3"/>
      <c r="Z48" s="7">
        <f t="shared" si="7"/>
        <v>-0.99722291666666674</v>
      </c>
    </row>
    <row r="49" spans="1:26" s="69" customFormat="1" ht="15" customHeight="1" outlineLevel="1" collapsed="1" x14ac:dyDescent="0.3">
      <c r="A49" s="25"/>
      <c r="B49" s="14" t="str">
        <f>CONCATENATE("     ","Telephone/Data Lines                              ")</f>
        <v xml:space="preserve">     Telephone/Data Lines                              </v>
      </c>
      <c r="C49" s="14"/>
      <c r="D49" s="2">
        <f>SUM(OSRRefD22_6x_0)</f>
        <v>36</v>
      </c>
      <c r="E49" s="2"/>
      <c r="F49" s="6">
        <f t="shared" si="0"/>
        <v>0</v>
      </c>
      <c r="G49" s="2"/>
      <c r="H49" s="2">
        <f>SUM(OSRRefH22_6x_0)</f>
        <v>72</v>
      </c>
      <c r="I49" s="2"/>
      <c r="J49" s="6">
        <f t="shared" si="1"/>
        <v>0</v>
      </c>
      <c r="K49" s="2"/>
      <c r="L49" s="2">
        <f t="shared" si="2"/>
        <v>-36</v>
      </c>
      <c r="M49" s="2"/>
      <c r="N49" s="6">
        <f t="shared" si="3"/>
        <v>-0.5</v>
      </c>
      <c r="O49" s="14"/>
      <c r="P49" s="2">
        <f>SUM(OSRRefP22_6x_0)</f>
        <v>360.4</v>
      </c>
      <c r="Q49" s="2"/>
      <c r="R49" s="6">
        <f t="shared" si="4"/>
        <v>0</v>
      </c>
      <c r="S49" s="2"/>
      <c r="T49" s="2">
        <f>SUM(OSRRefT22_6x_0)</f>
        <v>576</v>
      </c>
      <c r="U49" s="2"/>
      <c r="V49" s="6">
        <f t="shared" si="5"/>
        <v>0</v>
      </c>
      <c r="W49" s="2"/>
      <c r="X49" s="2">
        <f t="shared" si="6"/>
        <v>-215.60000000000002</v>
      </c>
      <c r="Y49" s="2"/>
      <c r="Z49" s="6">
        <f t="shared" si="7"/>
        <v>-0.37430555555555561</v>
      </c>
    </row>
    <row r="50" spans="1:26" s="70" customFormat="1" ht="15" hidden="1" customHeight="1" outlineLevel="2" x14ac:dyDescent="0.3">
      <c r="A50" s="26"/>
      <c r="B50" s="12" t="str">
        <f>CONCATENATE("          ","6303"," - ","DATA PHONE LINES")</f>
        <v xml:space="preserve">          6303 - DATA PHONE LINES</v>
      </c>
      <c r="C50" s="12"/>
      <c r="D50" s="8"/>
      <c r="E50" s="3"/>
      <c r="F50" s="7">
        <f t="shared" si="0"/>
        <v>0</v>
      </c>
      <c r="G50" s="3"/>
      <c r="H50" s="8">
        <v>36</v>
      </c>
      <c r="I50" s="3"/>
      <c r="J50" s="7">
        <f t="shared" si="1"/>
        <v>0</v>
      </c>
      <c r="K50" s="3"/>
      <c r="L50" s="8">
        <f t="shared" si="2"/>
        <v>-36</v>
      </c>
      <c r="M50" s="3"/>
      <c r="N50" s="7">
        <f t="shared" si="3"/>
        <v>-1</v>
      </c>
      <c r="O50" s="12"/>
      <c r="P50" s="8"/>
      <c r="Q50" s="3"/>
      <c r="R50" s="7">
        <f t="shared" si="4"/>
        <v>0</v>
      </c>
      <c r="S50" s="3"/>
      <c r="T50" s="8">
        <v>288</v>
      </c>
      <c r="U50" s="3"/>
      <c r="V50" s="7">
        <f t="shared" si="5"/>
        <v>0</v>
      </c>
      <c r="W50" s="3"/>
      <c r="X50" s="8">
        <f t="shared" si="6"/>
        <v>-288</v>
      </c>
      <c r="Y50" s="3"/>
      <c r="Z50" s="7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","6309"," - ","TELEPHONE")</f>
        <v xml:space="preserve">          6309 - TELEPHONE</v>
      </c>
      <c r="C51" s="12"/>
      <c r="D51" s="8">
        <v>36</v>
      </c>
      <c r="E51" s="3"/>
      <c r="F51" s="7">
        <f t="shared" si="0"/>
        <v>0</v>
      </c>
      <c r="G51" s="3"/>
      <c r="H51" s="8">
        <v>36</v>
      </c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360.4</v>
      </c>
      <c r="Q51" s="3"/>
      <c r="R51" s="7">
        <f t="shared" si="4"/>
        <v>0</v>
      </c>
      <c r="S51" s="3"/>
      <c r="T51" s="8">
        <v>288</v>
      </c>
      <c r="U51" s="3"/>
      <c r="V51" s="7">
        <f t="shared" si="5"/>
        <v>0</v>
      </c>
      <c r="W51" s="3"/>
      <c r="X51" s="8">
        <f t="shared" si="6"/>
        <v>72.399999999999977</v>
      </c>
      <c r="Y51" s="3"/>
      <c r="Z51" s="7">
        <f t="shared" si="7"/>
        <v>0.25138888888888883</v>
      </c>
    </row>
    <row r="52" spans="1:26" s="69" customFormat="1" ht="15" customHeight="1" outlineLevel="1" collapsed="1" x14ac:dyDescent="0.3">
      <c r="A52" s="25"/>
      <c r="B52" s="14" t="str">
        <f>CONCATENATE("     ","Training                                          ")</f>
        <v xml:space="preserve">     Training                                          </v>
      </c>
      <c r="C52" s="14"/>
      <c r="D52" s="2">
        <f>SUM(OSRRefD22_7x_0)</f>
        <v>0</v>
      </c>
      <c r="E52" s="2"/>
      <c r="F52" s="6">
        <f t="shared" si="0"/>
        <v>0</v>
      </c>
      <c r="G52" s="2"/>
      <c r="H52" s="2">
        <f>SUM(OSRRefH22_7x_0)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SUM(OSRRefP22_7x_0)</f>
        <v>0</v>
      </c>
      <c r="Q52" s="2"/>
      <c r="R52" s="6">
        <f t="shared" si="4"/>
        <v>0</v>
      </c>
      <c r="S52" s="2"/>
      <c r="T52" s="2">
        <f>SUM(OSRRefT22_7x_0)</f>
        <v>1000</v>
      </c>
      <c r="U52" s="2"/>
      <c r="V52" s="6">
        <f t="shared" si="5"/>
        <v>0</v>
      </c>
      <c r="W52" s="2"/>
      <c r="X52" s="2">
        <f t="shared" si="6"/>
        <v>-1000</v>
      </c>
      <c r="Y52" s="2"/>
      <c r="Z52" s="6">
        <f t="shared" si="7"/>
        <v>-1</v>
      </c>
    </row>
    <row r="53" spans="1:26" s="70" customFormat="1" ht="15" hidden="1" customHeight="1" outlineLevel="2" x14ac:dyDescent="0.3">
      <c r="A53" s="26"/>
      <c r="B53" s="12" t="str">
        <f>CONCATENATE("          ","6376"," - ","TRAINING")</f>
        <v xml:space="preserve">          6376 - TRAINING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/>
      <c r="Q53" s="3"/>
      <c r="R53" s="7">
        <f t="shared" si="4"/>
        <v>0</v>
      </c>
      <c r="S53" s="3"/>
      <c r="T53" s="8">
        <v>1000</v>
      </c>
      <c r="U53" s="3"/>
      <c r="V53" s="7">
        <f t="shared" si="5"/>
        <v>0</v>
      </c>
      <c r="W53" s="3"/>
      <c r="X53" s="8">
        <f t="shared" si="6"/>
        <v>-1000</v>
      </c>
      <c r="Y53" s="3"/>
      <c r="Z53" s="7">
        <f t="shared" si="7"/>
        <v>-1</v>
      </c>
    </row>
    <row r="54" spans="1:26" s="65" customFormat="1" ht="15" customHeight="1" x14ac:dyDescent="0.3">
      <c r="A54" s="35"/>
      <c r="B54" s="35"/>
      <c r="C54" s="35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35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63" customFormat="1" ht="15" customHeight="1" x14ac:dyDescent="0.3">
      <c r="A55" s="11"/>
      <c r="B55" s="27" t="s">
        <v>291</v>
      </c>
      <c r="C55" s="11"/>
      <c r="D55" s="5">
        <f>SUM(0)</f>
        <v>0</v>
      </c>
      <c r="E55" s="5"/>
      <c r="F55" s="13">
        <f>IF(D$12=0,0,D55/D$12)</f>
        <v>0</v>
      </c>
      <c r="G55" s="5"/>
      <c r="H55" s="5">
        <f>SUM(0)</f>
        <v>0</v>
      </c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>
        <f>SUM(0)</f>
        <v>0</v>
      </c>
      <c r="Q55" s="5"/>
      <c r="R55" s="13">
        <f>IF(P$12=0,0,P55/P$12)</f>
        <v>0</v>
      </c>
      <c r="S55" s="5"/>
      <c r="T55" s="5">
        <f>SUM(0)</f>
        <v>0</v>
      </c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3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3">
      <c r="A57" s="11"/>
      <c r="B57" s="28" t="s">
        <v>292</v>
      </c>
      <c r="C57" s="28"/>
      <c r="D57" s="21">
        <f>+D16-D18+D55</f>
        <v>-7505.9599999999991</v>
      </c>
      <c r="E57" s="15"/>
      <c r="F57" s="22">
        <f>IF(D$12=0,0,D57/D$12)</f>
        <v>0</v>
      </c>
      <c r="G57" s="15"/>
      <c r="H57" s="21">
        <f>+H16-H18+H55</f>
        <v>-12236.75742769231</v>
      </c>
      <c r="I57" s="15"/>
      <c r="J57" s="22">
        <f>IF(H$12=0,0,H57/H$12)</f>
        <v>0</v>
      </c>
      <c r="K57" s="16"/>
      <c r="L57" s="21">
        <f>+D57-H57</f>
        <v>4730.7974276923105</v>
      </c>
      <c r="M57" s="16"/>
      <c r="N57" s="22">
        <f>IF(H57=0,0,L57/H57)</f>
        <v>-0.38660547580900084</v>
      </c>
      <c r="O57" s="27"/>
      <c r="P57" s="21">
        <f>+P16-P18+P55</f>
        <v>-68394.22</v>
      </c>
      <c r="Q57" s="15"/>
      <c r="R57" s="22">
        <f>IF(P$12=0,0,P57/P$12)</f>
        <v>0</v>
      </c>
      <c r="S57" s="15"/>
      <c r="T57" s="21">
        <f>+T16-T18+T55</f>
        <v>-107060.35709230771</v>
      </c>
      <c r="U57" s="15"/>
      <c r="V57" s="22">
        <f>IF(T$12=0,0,T57/T$12)</f>
        <v>0</v>
      </c>
      <c r="W57" s="16"/>
      <c r="X57" s="21">
        <f>+P57-T57</f>
        <v>38666.137092307705</v>
      </c>
      <c r="Y57" s="16"/>
      <c r="Z57" s="22">
        <f>IF(T57=0,0,X57/T57)</f>
        <v>-0.36116204113694172</v>
      </c>
    </row>
    <row r="58" spans="1:26" ht="15" customHeight="1" x14ac:dyDescent="0.3">
      <c r="A58" s="10"/>
      <c r="B58" s="11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49"/>
      <c r="B59" s="11" t="s">
        <v>293</v>
      </c>
      <c r="C59" s="11"/>
      <c r="D59" s="5"/>
      <c r="E59" s="5"/>
      <c r="F59" s="13">
        <f>IF(D$12=0,0,D59/D$12)</f>
        <v>0</v>
      </c>
      <c r="G59" s="5"/>
      <c r="H59" s="5"/>
      <c r="I59" s="5"/>
      <c r="J59" s="13">
        <f>IF(H$12=0,0,H59/H$12)</f>
        <v>0</v>
      </c>
      <c r="K59" s="5"/>
      <c r="L59" s="5">
        <f>+D59-H59</f>
        <v>0</v>
      </c>
      <c r="M59" s="5"/>
      <c r="N59" s="13">
        <f>IF(H59=0,0,L59/H59)</f>
        <v>0</v>
      </c>
      <c r="O59" s="11"/>
      <c r="P59" s="5"/>
      <c r="Q59" s="5"/>
      <c r="R59" s="13">
        <f>IF(P$12=0,0,P59/P$12)</f>
        <v>0</v>
      </c>
      <c r="S59" s="5"/>
      <c r="T59" s="5"/>
      <c r="U59" s="5"/>
      <c r="V59" s="13">
        <f>IF(T$12=0,0,T59/T$12)</f>
        <v>0</v>
      </c>
      <c r="W59" s="5"/>
      <c r="X59" s="5">
        <f>+P59-T59</f>
        <v>0</v>
      </c>
      <c r="Y59" s="5"/>
      <c r="Z59" s="13">
        <f>IF(T59=0,0,X59/T59)</f>
        <v>0</v>
      </c>
    </row>
    <row r="60" spans="1:26" ht="15" customHeight="1" x14ac:dyDescent="0.3">
      <c r="A60" s="10"/>
      <c r="B60" s="11"/>
      <c r="C60" s="11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O60" s="11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11"/>
      <c r="B61" s="28" t="s">
        <v>294</v>
      </c>
      <c r="C61" s="28"/>
      <c r="D61" s="33">
        <f>+D57-D59</f>
        <v>-7505.9599999999991</v>
      </c>
      <c r="E61" s="15"/>
      <c r="F61" s="32">
        <f>IF(D$12=0,0,D61/D$12)</f>
        <v>0</v>
      </c>
      <c r="G61" s="15"/>
      <c r="H61" s="33">
        <f>+H57-H59</f>
        <v>-12236.75742769231</v>
      </c>
      <c r="I61" s="15"/>
      <c r="J61" s="32">
        <f>IF(H$12=0,0,H61/H$12)</f>
        <v>0</v>
      </c>
      <c r="K61" s="16"/>
      <c r="L61" s="33">
        <f>D61-H61</f>
        <v>4730.7974276923105</v>
      </c>
      <c r="M61" s="16"/>
      <c r="N61" s="32">
        <f>IF(H61=0,0,L61/H61)</f>
        <v>-0.38660547580900084</v>
      </c>
      <c r="O61" s="27"/>
      <c r="P61" s="33">
        <f>+P57-P59</f>
        <v>-68394.22</v>
      </c>
      <c r="Q61" s="15"/>
      <c r="R61" s="32">
        <f>IF(P$12=0,0,P61/P$12)</f>
        <v>0</v>
      </c>
      <c r="S61" s="15"/>
      <c r="T61" s="33">
        <f>+T57-T59</f>
        <v>-107060.35709230771</v>
      </c>
      <c r="U61" s="15"/>
      <c r="V61" s="32">
        <f>IF(T$12=0,0,T61/T$12)</f>
        <v>0</v>
      </c>
      <c r="W61" s="16"/>
      <c r="X61" s="33">
        <f>P61-T61</f>
        <v>38666.137092307705</v>
      </c>
      <c r="Y61" s="16"/>
      <c r="Z61" s="32">
        <f>IF(T61=0,0,X61/T61)</f>
        <v>-0.36116204113694172</v>
      </c>
    </row>
    <row r="62" spans="1:26" ht="15" customHeight="1" x14ac:dyDescent="0.3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ht="15" customHeight="1" x14ac:dyDescent="0.3">
      <c r="A63" s="10"/>
      <c r="B63" s="10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3">
      <c r="A64" s="11"/>
      <c r="B64" s="28" t="s">
        <v>297</v>
      </c>
      <c r="C64" s="28"/>
      <c r="D64" s="34">
        <f>SUM(D61:D63)</f>
        <v>-7505.9599999999991</v>
      </c>
      <c r="E64" s="15"/>
      <c r="F64" s="30">
        <f>IF(D$12=0,0,D64/D$12)</f>
        <v>0</v>
      </c>
      <c r="G64" s="15"/>
      <c r="H64" s="34">
        <f>SUM(H61:H63)</f>
        <v>-12236.75742769231</v>
      </c>
      <c r="I64" s="15"/>
      <c r="J64" s="30">
        <f>IF(H$12=0,0,H64/H$12)</f>
        <v>0</v>
      </c>
      <c r="K64" s="16"/>
      <c r="L64" s="34">
        <f>+D64-H64</f>
        <v>4730.7974276923105</v>
      </c>
      <c r="M64" s="16"/>
      <c r="N64" s="30">
        <f>IF(H64=0,0,L64/H64)</f>
        <v>-0.38660547580900084</v>
      </c>
      <c r="O64" s="27"/>
      <c r="P64" s="34">
        <f>SUM(P61:P63)</f>
        <v>-68394.22</v>
      </c>
      <c r="Q64" s="15"/>
      <c r="R64" s="30">
        <f>IF(P$12=0,0,P64/P$12)</f>
        <v>0</v>
      </c>
      <c r="S64" s="15"/>
      <c r="T64" s="34">
        <f>SUM(T61:T63)</f>
        <v>-107060.35709230771</v>
      </c>
      <c r="U64" s="15"/>
      <c r="V64" s="30">
        <f>IF(T$12=0,0,T64/T$12)</f>
        <v>0</v>
      </c>
      <c r="W64" s="16"/>
      <c r="X64" s="34">
        <f>+P64-T64</f>
        <v>38666.137092307705</v>
      </c>
      <c r="Y64" s="16"/>
      <c r="Z64" s="30">
        <f>IF(T64=0,0,X64/T64)</f>
        <v>-0.36116204113694172</v>
      </c>
    </row>
    <row r="65" spans="1:24" ht="15" customHeight="1" x14ac:dyDescent="0.3">
      <c r="A65" s="10"/>
      <c r="C65" s="10"/>
      <c r="D65" s="19"/>
      <c r="E65" s="19"/>
      <c r="G65" s="19"/>
      <c r="H65" s="19"/>
      <c r="I65" s="19"/>
      <c r="J65" s="41"/>
      <c r="K65" s="19"/>
      <c r="L65" s="19"/>
      <c r="M65" s="19"/>
      <c r="P65" s="19"/>
      <c r="Q65" s="19"/>
      <c r="R65" s="41"/>
      <c r="S65" s="19"/>
      <c r="T65" s="19"/>
      <c r="U65" s="19"/>
      <c r="V65" s="41"/>
      <c r="W65" s="19"/>
      <c r="X65" s="19"/>
    </row>
    <row r="66" spans="1:24" ht="15" customHeight="1" x14ac:dyDescent="0.3">
      <c r="A66" s="10"/>
      <c r="B66" s="57">
        <v>44634.883430555557</v>
      </c>
      <c r="D66" s="19"/>
      <c r="E66" s="19"/>
      <c r="G66" s="19"/>
      <c r="H66" s="19"/>
      <c r="I66" s="19"/>
      <c r="J66" s="41"/>
      <c r="K66" s="19"/>
      <c r="L66" s="19"/>
      <c r="M66" s="19"/>
      <c r="P66" s="19"/>
      <c r="Q66" s="19"/>
      <c r="R66" s="41"/>
      <c r="S66" s="19"/>
      <c r="T66" s="19"/>
      <c r="U66" s="19"/>
      <c r="V66" s="41"/>
      <c r="W66" s="19"/>
      <c r="X66" s="19"/>
    </row>
    <row r="67" spans="1:24" ht="15" customHeight="1" x14ac:dyDescent="0.3">
      <c r="A67" s="10"/>
      <c r="B67" s="56" t="s">
        <v>298</v>
      </c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4" ht="15" customHeight="1" x14ac:dyDescent="0.3">
      <c r="A68" s="10"/>
      <c r="B68" s="54"/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4" ht="15" customHeight="1" x14ac:dyDescent="0.3"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F0634-AEDC-82E1-1556-3BB326AAF00F}">
  <sheetPr>
    <tabColor rgb="FFFFC000"/>
    <outlinePr summaryBelow="0" summaryRight="0"/>
  </sheetPr>
  <dimension ref="A2:Z17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301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872531.82</v>
      </c>
      <c r="E12" s="5"/>
      <c r="F12" s="13"/>
      <c r="G12" s="5"/>
      <c r="H12" s="5">
        <f>SUM(OSRRefH13x_0)</f>
        <v>644404</v>
      </c>
      <c r="I12" s="5"/>
      <c r="J12" s="13"/>
      <c r="K12" s="5"/>
      <c r="L12" s="5">
        <f t="shared" ref="L12:L23" si="0">+D12-H12</f>
        <v>228127.81999999995</v>
      </c>
      <c r="M12" s="5"/>
      <c r="N12" s="13">
        <f t="shared" ref="N12:N23" si="1">IF(H12=0,0,L12/H12)</f>
        <v>0.35401366223673342</v>
      </c>
      <c r="O12" s="11"/>
      <c r="P12" s="5">
        <f>SUM(OSRRefP13x_0)</f>
        <v>5370457.3600000003</v>
      </c>
      <c r="Q12" s="5"/>
      <c r="R12" s="13"/>
      <c r="S12" s="5"/>
      <c r="T12" s="5">
        <f>SUM(OSRRefT13x_0)</f>
        <v>7781313</v>
      </c>
      <c r="U12" s="5"/>
      <c r="V12" s="13"/>
      <c r="W12" s="5"/>
      <c r="X12" s="5">
        <f t="shared" ref="X12:X23" si="2">+P12-T12</f>
        <v>-2410855.6399999997</v>
      </c>
      <c r="Y12" s="5"/>
      <c r="Z12" s="13">
        <f t="shared" ref="Z12:Z23" si="3">IF(T12=0,0,X12/T12)</f>
        <v>-0.30982632879566724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--680730.71</f>
        <v>680730.71</v>
      </c>
      <c r="E13" s="3"/>
      <c r="F13" s="20"/>
      <c r="G13" s="3"/>
      <c r="H13" s="3">
        <v>513665</v>
      </c>
      <c r="I13" s="3"/>
      <c r="J13" s="20"/>
      <c r="K13" s="3"/>
      <c r="L13" s="3">
        <f t="shared" si="0"/>
        <v>167065.70999999996</v>
      </c>
      <c r="M13" s="3"/>
      <c r="N13" s="20">
        <f t="shared" si="1"/>
        <v>0.32524254134503999</v>
      </c>
      <c r="O13" s="12"/>
      <c r="P13" s="3">
        <f>--4464976.61</f>
        <v>4464976.6100000003</v>
      </c>
      <c r="Q13" s="3"/>
      <c r="R13" s="20"/>
      <c r="S13" s="3"/>
      <c r="T13" s="3">
        <v>7314858</v>
      </c>
      <c r="U13" s="3"/>
      <c r="V13" s="20"/>
      <c r="W13" s="3"/>
      <c r="X13" s="3">
        <f t="shared" si="2"/>
        <v>-2849881.3899999997</v>
      </c>
      <c r="Y13" s="3"/>
      <c r="Z13" s="20">
        <f t="shared" si="3"/>
        <v>-0.38960173799682779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--25.17</f>
        <v>25.17</v>
      </c>
      <c r="E14" s="3"/>
      <c r="F14" s="20"/>
      <c r="G14" s="3"/>
      <c r="H14" s="3"/>
      <c r="I14" s="3"/>
      <c r="J14" s="20"/>
      <c r="K14" s="3"/>
      <c r="L14" s="3">
        <f t="shared" si="0"/>
        <v>25.17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--698.72</f>
        <v>698.72</v>
      </c>
      <c r="Q15" s="3"/>
      <c r="R15" s="20"/>
      <c r="S15" s="3"/>
      <c r="T15" s="3"/>
      <c r="U15" s="3"/>
      <c r="V15" s="20"/>
      <c r="W15" s="3"/>
      <c r="X15" s="3">
        <f t="shared" si="2"/>
        <v>698.72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--225320.19</f>
        <v>225320.19</v>
      </c>
      <c r="E16" s="3"/>
      <c r="F16" s="20"/>
      <c r="G16" s="3"/>
      <c r="H16" s="3">
        <v>130739</v>
      </c>
      <c r="I16" s="3"/>
      <c r="J16" s="20"/>
      <c r="K16" s="3"/>
      <c r="L16" s="3">
        <f t="shared" si="0"/>
        <v>94581.19</v>
      </c>
      <c r="M16" s="3"/>
      <c r="N16" s="20">
        <f t="shared" si="1"/>
        <v>0.72343516471749059</v>
      </c>
      <c r="O16" s="12"/>
      <c r="P16" s="3">
        <f>--1149858.17</f>
        <v>1149858.17</v>
      </c>
      <c r="Q16" s="3"/>
      <c r="R16" s="20"/>
      <c r="S16" s="3"/>
      <c r="T16" s="3">
        <v>466455</v>
      </c>
      <c r="U16" s="3"/>
      <c r="V16" s="20"/>
      <c r="W16" s="3"/>
      <c r="X16" s="3">
        <f t="shared" si="2"/>
        <v>683403.16999999993</v>
      </c>
      <c r="Y16" s="3"/>
      <c r="Z16" s="20">
        <f t="shared" si="3"/>
        <v>1.4650998917366089</v>
      </c>
    </row>
    <row r="17" spans="1:26" s="70" customFormat="1" ht="15" hidden="1" customHeight="1" outlineLevel="1" x14ac:dyDescent="0.3">
      <c r="A17" s="42"/>
      <c r="B17" s="12" t="str">
        <f>CONCATENATE("          ","4141"," - ","NON-TAXABLE SALES-LOGO GIFTS")</f>
        <v xml:space="preserve">          4141 - NON-TAXABLE SALES-LOGO GIFTS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/>
      <c r="U17" s="3"/>
      <c r="V17" s="20"/>
      <c r="W17" s="3"/>
      <c r="X17" s="3">
        <f t="shared" si="2"/>
        <v>0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","4146"," - ","NON-TAXABLE SALES-COIN OP MACH")</f>
        <v xml:space="preserve">          4146 - NON-TAXABLE SALES-COIN OP MACH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","4151"," - ","NON-TAXABLE SALES-FOOD")</f>
        <v xml:space="preserve">          4151 - NON-TAXABLE SALES-FOOD</v>
      </c>
      <c r="C19" s="12"/>
      <c r="D19" s="3">
        <f>--206.32</f>
        <v>206.32</v>
      </c>
      <c r="E19" s="3"/>
      <c r="F19" s="20"/>
      <c r="G19" s="3"/>
      <c r="H19" s="3"/>
      <c r="I19" s="3"/>
      <c r="J19" s="20"/>
      <c r="K19" s="3"/>
      <c r="L19" s="3">
        <f t="shared" si="0"/>
        <v>206.32</v>
      </c>
      <c r="M19" s="3"/>
      <c r="N19" s="20">
        <f t="shared" si="1"/>
        <v>0</v>
      </c>
      <c r="O19" s="12"/>
      <c r="P19" s="3">
        <f>--206.32</f>
        <v>206.32</v>
      </c>
      <c r="Q19" s="3"/>
      <c r="R19" s="20"/>
      <c r="S19" s="3"/>
      <c r="T19" s="3"/>
      <c r="U19" s="3"/>
      <c r="V19" s="20"/>
      <c r="W19" s="3"/>
      <c r="X19" s="3">
        <f t="shared" si="2"/>
        <v>206.32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","4153"," - ","NON-TAXABLE SALES-FOOD")</f>
        <v xml:space="preserve">          4153 - NON-TAXABLE SALES-FOOD</v>
      </c>
      <c r="C20" s="12"/>
      <c r="D20" s="3">
        <f>0</f>
        <v>0</v>
      </c>
      <c r="E20" s="3"/>
      <c r="F20" s="20"/>
      <c r="G20" s="3"/>
      <c r="H20" s="3"/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/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70" customFormat="1" ht="15" hidden="1" customHeight="1" outlineLevel="1" x14ac:dyDescent="0.3">
      <c r="A21" s="42"/>
      <c r="B21" s="12" t="str">
        <f>CONCATENATE("          ","4200"," - ","TAXABLE RETURNS")</f>
        <v xml:space="preserve">          4200 - TAXABLE RETURNS</v>
      </c>
      <c r="C21" s="12"/>
      <c r="D21" s="3">
        <f>-18404.3</f>
        <v>-18404.3</v>
      </c>
      <c r="E21" s="3"/>
      <c r="F21" s="20"/>
      <c r="G21" s="3"/>
      <c r="H21" s="3"/>
      <c r="I21" s="3"/>
      <c r="J21" s="20"/>
      <c r="K21" s="3"/>
      <c r="L21" s="3">
        <f t="shared" si="0"/>
        <v>-18404.3</v>
      </c>
      <c r="M21" s="3"/>
      <c r="N21" s="20">
        <f t="shared" si="1"/>
        <v>0</v>
      </c>
      <c r="O21" s="12"/>
      <c r="P21" s="3">
        <f>-131513.33</f>
        <v>-131513.32999999999</v>
      </c>
      <c r="Q21" s="3"/>
      <c r="R21" s="20"/>
      <c r="S21" s="3"/>
      <c r="T21" s="3"/>
      <c r="U21" s="3"/>
      <c r="V21" s="20"/>
      <c r="W21" s="3"/>
      <c r="X21" s="3">
        <f t="shared" si="2"/>
        <v>-131513.32999999999</v>
      </c>
      <c r="Y21" s="3"/>
      <c r="Z21" s="20">
        <f t="shared" si="3"/>
        <v>0</v>
      </c>
    </row>
    <row r="22" spans="1:26" s="70" customFormat="1" ht="15" hidden="1" customHeight="1" outlineLevel="1" x14ac:dyDescent="0.3">
      <c r="A22" s="42"/>
      <c r="B22" s="12" t="str">
        <f>CONCATENATE("          ","4300"," - ","NON-TAX RETURNS")</f>
        <v xml:space="preserve">          4300 - NON-TAX RETURNS</v>
      </c>
      <c r="C22" s="12"/>
      <c r="D22" s="3">
        <f>-3193.12</f>
        <v>-3193.12</v>
      </c>
      <c r="E22" s="3"/>
      <c r="F22" s="20"/>
      <c r="G22" s="3"/>
      <c r="H22" s="3"/>
      <c r="I22" s="3"/>
      <c r="J22" s="20"/>
      <c r="K22" s="3"/>
      <c r="L22" s="3">
        <f t="shared" si="0"/>
        <v>-3193.12</v>
      </c>
      <c r="M22" s="3"/>
      <c r="N22" s="20">
        <f t="shared" si="1"/>
        <v>0</v>
      </c>
      <c r="O22" s="12"/>
      <c r="P22" s="3">
        <f>-31247.2</f>
        <v>-31247.200000000001</v>
      </c>
      <c r="Q22" s="3"/>
      <c r="R22" s="20"/>
      <c r="S22" s="3"/>
      <c r="T22" s="3"/>
      <c r="U22" s="3"/>
      <c r="V22" s="20"/>
      <c r="W22" s="3"/>
      <c r="X22" s="3">
        <f t="shared" si="2"/>
        <v>-31247.200000000001</v>
      </c>
      <c r="Y22" s="3"/>
      <c r="Z22" s="20">
        <f t="shared" si="3"/>
        <v>0</v>
      </c>
    </row>
    <row r="23" spans="1:26" s="70" customFormat="1" ht="15" hidden="1" customHeight="1" outlineLevel="1" x14ac:dyDescent="0.3">
      <c r="A23" s="42"/>
      <c r="B23" s="12" t="str">
        <f>CONCATENATE("          ","4500"," - ","SALES DISCOUNT")</f>
        <v xml:space="preserve">          4500 - SALES DISCOUNT</v>
      </c>
      <c r="C23" s="12"/>
      <c r="D23" s="3">
        <f>-12153.15</f>
        <v>-12153.15</v>
      </c>
      <c r="E23" s="3"/>
      <c r="F23" s="20"/>
      <c r="G23" s="3"/>
      <c r="H23" s="3"/>
      <c r="I23" s="3"/>
      <c r="J23" s="20"/>
      <c r="K23" s="3"/>
      <c r="L23" s="3">
        <f t="shared" si="0"/>
        <v>-12153.15</v>
      </c>
      <c r="M23" s="3"/>
      <c r="N23" s="20">
        <f t="shared" si="1"/>
        <v>0</v>
      </c>
      <c r="O23" s="12"/>
      <c r="P23" s="3">
        <f>-82547.1</f>
        <v>-82547.100000000006</v>
      </c>
      <c r="Q23" s="3"/>
      <c r="R23" s="20"/>
      <c r="S23" s="3"/>
      <c r="T23" s="3"/>
      <c r="U23" s="3"/>
      <c r="V23" s="20"/>
      <c r="W23" s="3"/>
      <c r="X23" s="3">
        <f t="shared" si="2"/>
        <v>-82547.100000000006</v>
      </c>
      <c r="Y23" s="3"/>
      <c r="Z23" s="20">
        <f t="shared" si="3"/>
        <v>0</v>
      </c>
    </row>
    <row r="24" spans="1:26" ht="15" customHeight="1" x14ac:dyDescent="0.3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collapsed="1" x14ac:dyDescent="0.3">
      <c r="A25" s="11"/>
      <c r="B25" s="27" t="s">
        <v>288</v>
      </c>
      <c r="C25" s="11"/>
      <c r="D25" s="5">
        <f>SUM(OSRRefD16x_0)</f>
        <v>442535.63</v>
      </c>
      <c r="E25" s="5"/>
      <c r="F25" s="13">
        <f t="shared" ref="F25:F54" si="4">IF(D$12=0,0,D25/D$12)</f>
        <v>0.50718566344090465</v>
      </c>
      <c r="G25" s="5"/>
      <c r="H25" s="5">
        <f>SUM(OSRRefH16x_0)</f>
        <v>345609</v>
      </c>
      <c r="I25" s="5"/>
      <c r="J25" s="13">
        <f t="shared" ref="J25:J54" si="5">IF(H$12=0,0,H25/H$12)</f>
        <v>0.53632348650846362</v>
      </c>
      <c r="K25" s="5"/>
      <c r="L25" s="5">
        <f t="shared" ref="L25:L54" si="6">+D25-H25</f>
        <v>96926.63</v>
      </c>
      <c r="M25" s="5"/>
      <c r="N25" s="13">
        <f t="shared" ref="N25:N54" si="7">IF(H25=0,0,L25/H25)</f>
        <v>0.28045169541302456</v>
      </c>
      <c r="O25" s="11"/>
      <c r="P25" s="5">
        <f>SUM(OSRRefP16x_0)</f>
        <v>3158357.4299999997</v>
      </c>
      <c r="Q25" s="5"/>
      <c r="R25" s="13">
        <f t="shared" ref="R25:R54" si="8">IF(P$12=0,0,P25/P$12)</f>
        <v>0.58809840918278877</v>
      </c>
      <c r="S25" s="5"/>
      <c r="T25" s="5">
        <f>SUM(OSRRefT16x_0)</f>
        <v>4845938</v>
      </c>
      <c r="U25" s="5"/>
      <c r="V25" s="13">
        <f t="shared" ref="V25:V54" si="9">IF(T$12=0,0,T25/T$12)</f>
        <v>0.62276610643987718</v>
      </c>
      <c r="W25" s="5"/>
      <c r="X25" s="5">
        <f t="shared" ref="X25:X54" si="10">+P25-T25</f>
        <v>-1687580.5700000003</v>
      </c>
      <c r="Y25" s="5"/>
      <c r="Z25" s="13">
        <f t="shared" ref="Z25:Z54" si="11">IF(T25=0,0,X25/T25)</f>
        <v>-0.34824642205492523</v>
      </c>
    </row>
    <row r="26" spans="1:26" s="70" customFormat="1" ht="15" hidden="1" customHeight="1" outlineLevel="1" x14ac:dyDescent="0.3">
      <c r="A26" s="42"/>
      <c r="B26" s="12" t="str">
        <f>CONCATENATE("          ","5000"," - ","PURCHASES @ COST")</f>
        <v xml:space="preserve">          5000 - PURCHASES @ COST</v>
      </c>
      <c r="C26" s="12"/>
      <c r="D26" s="3">
        <v>380898.63</v>
      </c>
      <c r="E26" s="3"/>
      <c r="F26" s="20">
        <f t="shared" si="4"/>
        <v>0.43654411365765439</v>
      </c>
      <c r="G26" s="3"/>
      <c r="H26" s="3">
        <v>345609</v>
      </c>
      <c r="I26" s="3"/>
      <c r="J26" s="20">
        <f t="shared" si="5"/>
        <v>0.53632348650846362</v>
      </c>
      <c r="K26" s="3"/>
      <c r="L26" s="3">
        <f t="shared" si="6"/>
        <v>35289.630000000005</v>
      </c>
      <c r="M26" s="3"/>
      <c r="N26" s="20">
        <f t="shared" si="7"/>
        <v>0.10210853884013439</v>
      </c>
      <c r="O26" s="12"/>
      <c r="P26" s="3">
        <v>3401156.97</v>
      </c>
      <c r="Q26" s="3"/>
      <c r="R26" s="20">
        <f t="shared" si="8"/>
        <v>0.63330862569217006</v>
      </c>
      <c r="S26" s="3"/>
      <c r="T26" s="3">
        <v>4845938</v>
      </c>
      <c r="U26" s="3"/>
      <c r="V26" s="20">
        <f t="shared" si="9"/>
        <v>0.62276610643987718</v>
      </c>
      <c r="W26" s="3"/>
      <c r="X26" s="3">
        <f t="shared" si="10"/>
        <v>-1444781.0299999998</v>
      </c>
      <c r="Y26" s="3"/>
      <c r="Z26" s="20">
        <f t="shared" si="11"/>
        <v>-0.29814269807001242</v>
      </c>
    </row>
    <row r="27" spans="1:26" s="70" customFormat="1" ht="15" hidden="1" customHeight="1" outlineLevel="1" x14ac:dyDescent="0.3">
      <c r="A27" s="42"/>
      <c r="B27" s="12" t="str">
        <f>CONCATENATE("          ","5001"," - ","PURCHASES @ COST-NEW TEXT")</f>
        <v xml:space="preserve">          5001 - PURCHASES @ COST-NEW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","5002"," - ","PURCHASES @ COST-USED TEXT")</f>
        <v xml:space="preserve">          5002 - PURCHASES @ COST-USED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","5004"," - ","PURCHASES @ COST-DIGITAL TEXT")</f>
        <v xml:space="preserve">          5004 - PURCHASES @ COST-DIGITAL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","5026"," - ","PURCHASES @ COST-WRITING INSTR")</f>
        <v xml:space="preserve">          5026 - PURCHASES @ COST-WRITING INSTR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","5027"," - ","PURCHASES @ COST-SCHOOL SUPPLI")</f>
        <v xml:space="preserve">          5027 - PURCHASES @ COST-SCHOOL SUPPLI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","5028"," - ","PURCHASES @ COST-ART/TECH")</f>
        <v xml:space="preserve">          5028 - PURCHASES @ COST-ART/TECH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","5031"," - ","PURCHASES @ COST-FOOD")</f>
        <v xml:space="preserve">          5031 - PURCHASES @ COST-FOOD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","5040"," - ","PURCHASES @ COST-LOGO CLOTHING")</f>
        <v xml:space="preserve">          5040 - PURCHASES @ COST-LOGO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","5041"," - ","PURCHASES @ COST-LOGO GIFTS")</f>
        <v xml:space="preserve">          5041 - PURCHASES @ COST-LOGO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","5042"," - ","PURCHASES @ COST-EVERYDAY GIFT")</f>
        <v xml:space="preserve">          5042 - PURCHASES @ COST-EVERYDAY GIFT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","5043"," - ","PURCHASES @ COST-CARDS")</f>
        <v xml:space="preserve">          5043 - PURCHASES @ COST-CARDS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","5044"," - ","PURCHASES @ COST-ACCESSORIES")</f>
        <v xml:space="preserve">          5044 - PURCHASES @ COST-ACCESSORIES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","5045"," - ","PURCHASES @ COST-SPECIAL ORDER")</f>
        <v xml:space="preserve">          5045 - PURCHASES @ COST-SPECIAL ORDER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","5053"," - ","PURCHASES @ COST-FOOD")</f>
        <v xml:space="preserve">          5053 - PURCHASES @ COST-FOOD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41937.61</v>
      </c>
      <c r="Q40" s="3"/>
      <c r="R40" s="20">
        <f t="shared" si="8"/>
        <v>7.8089457170552783E-3</v>
      </c>
      <c r="S40" s="3"/>
      <c r="T40" s="3"/>
      <c r="U40" s="3"/>
      <c r="V40" s="20">
        <f t="shared" si="9"/>
        <v>0</v>
      </c>
      <c r="W40" s="3"/>
      <c r="X40" s="3">
        <f t="shared" si="10"/>
        <v>41937.61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","5059"," - ","PURCHASES @ COST-FOOD")</f>
        <v xml:space="preserve">          5059 - PURCHASES @ COST-FOOD</v>
      </c>
      <c r="C41" s="12"/>
      <c r="D41" s="3">
        <v>55952.7</v>
      </c>
      <c r="E41" s="3"/>
      <c r="F41" s="20">
        <f t="shared" si="4"/>
        <v>6.4126830354450576E-2</v>
      </c>
      <c r="G41" s="3"/>
      <c r="H41" s="3"/>
      <c r="I41" s="3"/>
      <c r="J41" s="20">
        <f t="shared" si="5"/>
        <v>0</v>
      </c>
      <c r="K41" s="3"/>
      <c r="L41" s="3">
        <f t="shared" si="6"/>
        <v>55952.7</v>
      </c>
      <c r="M41" s="3"/>
      <c r="N41" s="20">
        <f t="shared" si="7"/>
        <v>0</v>
      </c>
      <c r="O41" s="12"/>
      <c r="P41" s="3">
        <v>66360.179999999993</v>
      </c>
      <c r="Q41" s="3"/>
      <c r="R41" s="20">
        <f t="shared" si="8"/>
        <v>1.235652302060173E-2</v>
      </c>
      <c r="S41" s="3"/>
      <c r="T41" s="3"/>
      <c r="U41" s="3"/>
      <c r="V41" s="20">
        <f t="shared" si="9"/>
        <v>0</v>
      </c>
      <c r="W41" s="3"/>
      <c r="X41" s="3">
        <f t="shared" si="10"/>
        <v>66360.179999999993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","5200"," - ","PURCHASES OFFSET")</f>
        <v xml:space="preserve">          5200 - PURCHASES OFFSET</v>
      </c>
      <c r="C42" s="12"/>
      <c r="D42" s="3">
        <v>-388061.48</v>
      </c>
      <c r="E42" s="3"/>
      <c r="F42" s="20">
        <f t="shared" si="4"/>
        <v>-0.44475338446682666</v>
      </c>
      <c r="G42" s="3"/>
      <c r="H42" s="3"/>
      <c r="I42" s="3"/>
      <c r="J42" s="20">
        <f t="shared" si="5"/>
        <v>0</v>
      </c>
      <c r="K42" s="3"/>
      <c r="L42" s="3">
        <f t="shared" si="6"/>
        <v>-388061.48</v>
      </c>
      <c r="M42" s="3"/>
      <c r="N42" s="20">
        <f t="shared" si="7"/>
        <v>0</v>
      </c>
      <c r="O42" s="12"/>
      <c r="P42" s="3">
        <v>-3212045.64</v>
      </c>
      <c r="Q42" s="3"/>
      <c r="R42" s="20">
        <f t="shared" si="8"/>
        <v>-0.59809536221697135</v>
      </c>
      <c r="S42" s="3"/>
      <c r="T42" s="3"/>
      <c r="U42" s="3"/>
      <c r="V42" s="20">
        <f t="shared" si="9"/>
        <v>0</v>
      </c>
      <c r="W42" s="3"/>
      <c r="X42" s="3">
        <f t="shared" si="10"/>
        <v>-3212045.64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","5300"," - ","COG$ OFFSET")</f>
        <v xml:space="preserve">          5300 - COG$ OFFSET</v>
      </c>
      <c r="C43" s="12"/>
      <c r="D43" s="3">
        <v>362141.86</v>
      </c>
      <c r="E43" s="3"/>
      <c r="F43" s="20">
        <f t="shared" si="4"/>
        <v>0.41504716699042565</v>
      </c>
      <c r="G43" s="3"/>
      <c r="H43" s="3"/>
      <c r="I43" s="3"/>
      <c r="J43" s="20">
        <f t="shared" si="5"/>
        <v>0</v>
      </c>
      <c r="K43" s="3"/>
      <c r="L43" s="3">
        <f t="shared" si="6"/>
        <v>362141.86</v>
      </c>
      <c r="M43" s="3"/>
      <c r="N43" s="20">
        <f t="shared" si="7"/>
        <v>0</v>
      </c>
      <c r="O43" s="12"/>
      <c r="P43" s="3">
        <v>2737158.53</v>
      </c>
      <c r="Q43" s="3"/>
      <c r="R43" s="20">
        <f t="shared" si="8"/>
        <v>0.5096695395790275</v>
      </c>
      <c r="S43" s="3"/>
      <c r="T43" s="3"/>
      <c r="U43" s="3"/>
      <c r="V43" s="20">
        <f t="shared" si="9"/>
        <v>0</v>
      </c>
      <c r="W43" s="3"/>
      <c r="X43" s="3">
        <f t="shared" si="10"/>
        <v>2737158.53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","5500"," - ","FREIGHT-IN")</f>
        <v xml:space="preserve">          5500 - FREIGHT-IN</v>
      </c>
      <c r="C44" s="12"/>
      <c r="D44" s="3">
        <v>31603.919999999998</v>
      </c>
      <c r="E44" s="3"/>
      <c r="F44" s="20">
        <f t="shared" si="4"/>
        <v>3.6220936905200778E-2</v>
      </c>
      <c r="G44" s="3"/>
      <c r="H44" s="3"/>
      <c r="I44" s="3"/>
      <c r="J44" s="20">
        <f t="shared" si="5"/>
        <v>0</v>
      </c>
      <c r="K44" s="3"/>
      <c r="L44" s="3">
        <f t="shared" si="6"/>
        <v>31603.919999999998</v>
      </c>
      <c r="M44" s="3"/>
      <c r="N44" s="20">
        <f t="shared" si="7"/>
        <v>0</v>
      </c>
      <c r="O44" s="12"/>
      <c r="P44" s="3">
        <v>123789.78</v>
      </c>
      <c r="Q44" s="3"/>
      <c r="R44" s="20">
        <f t="shared" si="8"/>
        <v>2.3050137390905567E-2</v>
      </c>
      <c r="S44" s="3"/>
      <c r="T44" s="3"/>
      <c r="U44" s="3"/>
      <c r="V44" s="20">
        <f t="shared" si="9"/>
        <v>0</v>
      </c>
      <c r="W44" s="3"/>
      <c r="X44" s="3">
        <f t="shared" si="10"/>
        <v>123789.78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","5501"," - ","FREIGHT-IN-NEW TEXT")</f>
        <v xml:space="preserve">          5501 - FREIGHT-IN-NEW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","5502"," - ","FREIGHT-IN-USED TEXT")</f>
        <v xml:space="preserve">          5502 - FREIGHT-IN-USED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","5518"," - ","FREIGHT-IN-STUDY GUIDES")</f>
        <v xml:space="preserve">          5518 - FREIGHT-IN-STUDY GUIDES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","5527"," - ","FREIGHT-IN-SCHOOL SUPPLIES")</f>
        <v xml:space="preserve">          5527 - FREIGHT-IN-SCHOOL SUPPLIES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","5528"," - ","FREIGHT-IN-ART/TECH")</f>
        <v xml:space="preserve">          5528 - FREIGHT-IN-ART/TECH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","5540"," - ","FREIGHT-IN-LOGO CLOTHING")</f>
        <v xml:space="preserve">          5540 - FREIGHT-IN-LOGO CLOTHING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","5541"," - ","FREIGHT-IN-LOGO GIFTS")</f>
        <v xml:space="preserve">          5541 - FREIGHT-IN-LOGO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","5542"," - ","FREIGHT-IN-EVERYDAY GIFTS")</f>
        <v xml:space="preserve">          5542 - FREIGHT-IN-EVERYDAY GIFTS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","5544"," - ","FREIGHT-IN-ACCESSORIES")</f>
        <v xml:space="preserve">          5544 - FREIGHT-IN-ACCESSORIES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","5545"," - ","FREIGHT-IN-SPECIAL ORDERS")</f>
        <v xml:space="preserve">          5545 - FREIGHT-IN-SPECIAL ORDERS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3">
      <c r="A56" s="11"/>
      <c r="B56" s="28" t="s">
        <v>289</v>
      </c>
      <c r="C56" s="28"/>
      <c r="D56" s="21">
        <f>D12-D25</f>
        <v>429996.18999999994</v>
      </c>
      <c r="E56" s="15"/>
      <c r="F56" s="22">
        <f>IF(D$12=0,0,D56/D$12)</f>
        <v>0.49281433655909529</v>
      </c>
      <c r="G56" s="15"/>
      <c r="H56" s="21">
        <f>H12-H25</f>
        <v>298795</v>
      </c>
      <c r="I56" s="15"/>
      <c r="J56" s="22">
        <f>IF(H$12=0,0,H56/H$12)</f>
        <v>0.46367651349153638</v>
      </c>
      <c r="K56" s="16"/>
      <c r="L56" s="21">
        <f>+D56-H56</f>
        <v>131201.18999999994</v>
      </c>
      <c r="M56" s="16"/>
      <c r="N56" s="22">
        <f>IF(H56=0,0,L56/H56)</f>
        <v>0.43910102244013438</v>
      </c>
      <c r="O56" s="27"/>
      <c r="P56" s="21">
        <f>P12-P25</f>
        <v>2212099.9300000006</v>
      </c>
      <c r="Q56" s="15"/>
      <c r="R56" s="22">
        <f>IF(P$12=0,0,P56/P$12)</f>
        <v>0.41190159081721123</v>
      </c>
      <c r="S56" s="15"/>
      <c r="T56" s="21">
        <f>T12-T25</f>
        <v>2935375</v>
      </c>
      <c r="U56" s="15"/>
      <c r="V56" s="22">
        <f>IF(T$12=0,0,T56/T$12)</f>
        <v>0.37723389356012282</v>
      </c>
      <c r="W56" s="16"/>
      <c r="X56" s="21">
        <f>+P56-T56</f>
        <v>-723275.06999999937</v>
      </c>
      <c r="Y56" s="16"/>
      <c r="Z56" s="22">
        <f>IF(T56=0,0,X56/T56)</f>
        <v>-0.24639954690627242</v>
      </c>
    </row>
    <row r="57" spans="1:26" ht="15" customHeight="1" x14ac:dyDescent="0.3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3">
      <c r="A58" s="11"/>
      <c r="B58" s="27" t="s">
        <v>290</v>
      </c>
      <c r="C58" s="11"/>
      <c r="D58" s="23" cm="1">
        <f t="array" ref="D58">SUM(OSRRefD22x_0)</f>
        <v>366531.93000000011</v>
      </c>
      <c r="E58" s="23"/>
      <c r="F58" s="29">
        <f t="shared" ref="F58:F89" si="12">IF(D$12=0,0,D58/D$12)</f>
        <v>0.42007858234900836</v>
      </c>
      <c r="G58" s="23"/>
      <c r="H58" s="23" cm="1">
        <f t="array" ref="H58">SUM(OSRRefH22x_0)</f>
        <v>367788.34068356286</v>
      </c>
      <c r="I58" s="23"/>
      <c r="J58" s="29">
        <f t="shared" ref="J58:J89" si="13">IF(H$12=0,0,H58/H$12)</f>
        <v>0.57074186486049572</v>
      </c>
      <c r="K58" s="5"/>
      <c r="L58" s="23">
        <f t="shared" ref="L58:L89" si="14">+D58-H58</f>
        <v>-1256.4106835627463</v>
      </c>
      <c r="M58" s="5"/>
      <c r="N58" s="29">
        <f t="shared" ref="N58:N89" si="15">IF(H58=0,0,L58/H58)</f>
        <v>-3.4161242883001962E-3</v>
      </c>
      <c r="O58" s="11"/>
      <c r="P58" s="23" cm="1">
        <f t="array" ref="P58">SUM(OSRRefP22x_0)</f>
        <v>2741329.65</v>
      </c>
      <c r="Q58" s="23"/>
      <c r="R58" s="29">
        <f t="shared" ref="R58:R89" si="16">IF(P$12=0,0,P58/P$12)</f>
        <v>0.51044621830867676</v>
      </c>
      <c r="S58" s="23"/>
      <c r="T58" s="23" cm="1">
        <f t="array" ref="T58">SUM(OSRRefT22x_0)</f>
        <v>3071099.0485875802</v>
      </c>
      <c r="U58" s="23"/>
      <c r="V58" s="29">
        <f t="shared" ref="V58:V89" si="17">IF(T$12=0,0,T58/T$12)</f>
        <v>0.39467620035173756</v>
      </c>
      <c r="W58" s="5"/>
      <c r="X58" s="23">
        <f t="shared" ref="X58:X89" si="18">+P58-T58</f>
        <v>-329769.3985875803</v>
      </c>
      <c r="Y58" s="5"/>
      <c r="Z58" s="29">
        <f t="shared" ref="Z58:Z89" si="19">IF(T58=0,0,X58/T58)</f>
        <v>-0.10737830117828455</v>
      </c>
    </row>
    <row r="59" spans="1:26" s="69" customFormat="1" ht="15" customHeight="1" outlineLevel="1" collapsed="1" x14ac:dyDescent="0.3">
      <c r="A59" s="25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27107.61</v>
      </c>
      <c r="E59" s="2"/>
      <c r="F59" s="6">
        <f t="shared" si="12"/>
        <v>3.106776094423697E-2</v>
      </c>
      <c r="G59" s="2"/>
      <c r="H59" s="2">
        <f>SUM(OSRRefH22_0x_0)</f>
        <v>48492.150844078249</v>
      </c>
      <c r="I59" s="2"/>
      <c r="J59" s="6">
        <f t="shared" si="13"/>
        <v>7.5251163624183354E-2</v>
      </c>
      <c r="K59" s="2"/>
      <c r="L59" s="2">
        <f t="shared" si="14"/>
        <v>-21384.540844078248</v>
      </c>
      <c r="M59" s="2"/>
      <c r="N59" s="6">
        <f t="shared" si="15"/>
        <v>-0.44098973693367699</v>
      </c>
      <c r="O59" s="14"/>
      <c r="P59" s="2">
        <f>SUM(OSRRefP22_0x_0)</f>
        <v>395505.37000000005</v>
      </c>
      <c r="Q59" s="2"/>
      <c r="R59" s="6">
        <f t="shared" si="16"/>
        <v>7.3644634616370927E-2</v>
      </c>
      <c r="S59" s="2"/>
      <c r="T59" s="2">
        <f>SUM(OSRRefT22_0x_0)</f>
        <v>425488.08909737779</v>
      </c>
      <c r="U59" s="2"/>
      <c r="V59" s="6">
        <f t="shared" si="17"/>
        <v>5.4680757488791129E-2</v>
      </c>
      <c r="W59" s="2"/>
      <c r="X59" s="2">
        <f t="shared" si="18"/>
        <v>-29982.719097377732</v>
      </c>
      <c r="Y59" s="2"/>
      <c r="Z59" s="6">
        <f t="shared" si="19"/>
        <v>-7.0466647282612524E-2</v>
      </c>
    </row>
    <row r="60" spans="1:26" s="70" customFormat="1" ht="15" hidden="1" customHeight="1" outlineLevel="2" x14ac:dyDescent="0.3">
      <c r="A60" s="26"/>
      <c r="B60" s="12" t="str">
        <f>CONCATENATE("          ","6111"," - ","F.I.C.A.")</f>
        <v xml:space="preserve">          6111 - F.I.C.A.</v>
      </c>
      <c r="C60" s="12"/>
      <c r="D60" s="8">
        <v>9125.8799999999992</v>
      </c>
      <c r="E60" s="3"/>
      <c r="F60" s="7">
        <f t="shared" si="12"/>
        <v>1.0459079876307549E-2</v>
      </c>
      <c r="G60" s="3"/>
      <c r="H60" s="8">
        <v>9769.8333569951501</v>
      </c>
      <c r="I60" s="3"/>
      <c r="J60" s="7">
        <f t="shared" si="13"/>
        <v>1.5161037729429287E-2</v>
      </c>
      <c r="K60" s="3"/>
      <c r="L60" s="8">
        <f t="shared" si="14"/>
        <v>-643.9533569951509</v>
      </c>
      <c r="M60" s="3"/>
      <c r="N60" s="7">
        <f t="shared" si="15"/>
        <v>-6.5912419737853931E-2</v>
      </c>
      <c r="O60" s="12"/>
      <c r="P60" s="8">
        <v>74211.73</v>
      </c>
      <c r="Q60" s="3"/>
      <c r="R60" s="7">
        <f t="shared" si="16"/>
        <v>1.3818512097822519E-2</v>
      </c>
      <c r="S60" s="3"/>
      <c r="T60" s="8">
        <v>86575.506705799897</v>
      </c>
      <c r="U60" s="3"/>
      <c r="V60" s="7">
        <f t="shared" si="17"/>
        <v>1.1126079455459495E-2</v>
      </c>
      <c r="W60" s="3"/>
      <c r="X60" s="8">
        <f t="shared" si="18"/>
        <v>-12363.776705799901</v>
      </c>
      <c r="Y60" s="3"/>
      <c r="Z60" s="7">
        <f t="shared" si="19"/>
        <v>-0.1428091752071908</v>
      </c>
    </row>
    <row r="61" spans="1:26" s="70" customFormat="1" ht="15" hidden="1" customHeight="1" outlineLevel="2" x14ac:dyDescent="0.3">
      <c r="A61" s="26"/>
      <c r="B61" s="12" t="str">
        <f>CONCATENATE("          ","6112"," - ","COMPENSATION INSURANCE")</f>
        <v xml:space="preserve">          6112 - COMPENSATION INSURANCE</v>
      </c>
      <c r="C61" s="12"/>
      <c r="D61" s="8">
        <v>3073.4</v>
      </c>
      <c r="E61" s="3"/>
      <c r="F61" s="7">
        <f t="shared" si="12"/>
        <v>3.5223930286003785E-3</v>
      </c>
      <c r="G61" s="3"/>
      <c r="H61" s="8">
        <v>3224.3015278646199</v>
      </c>
      <c r="I61" s="3"/>
      <c r="J61" s="7">
        <f t="shared" si="13"/>
        <v>5.0035405240572992E-3</v>
      </c>
      <c r="K61" s="3"/>
      <c r="L61" s="8">
        <f t="shared" si="14"/>
        <v>-150.90152786461977</v>
      </c>
      <c r="M61" s="3"/>
      <c r="N61" s="7">
        <f t="shared" si="15"/>
        <v>-4.6801307681840272E-2</v>
      </c>
      <c r="O61" s="12"/>
      <c r="P61" s="8">
        <v>20897.439999999999</v>
      </c>
      <c r="Q61" s="3"/>
      <c r="R61" s="7">
        <f t="shared" si="16"/>
        <v>3.8911844186022915E-3</v>
      </c>
      <c r="S61" s="3"/>
      <c r="T61" s="8">
        <v>27966.1818915654</v>
      </c>
      <c r="U61" s="3"/>
      <c r="V61" s="7">
        <f t="shared" si="17"/>
        <v>3.5940183734500079E-3</v>
      </c>
      <c r="W61" s="3"/>
      <c r="X61" s="8">
        <f t="shared" si="18"/>
        <v>-7068.7418915654016</v>
      </c>
      <c r="Y61" s="3"/>
      <c r="Z61" s="7">
        <f t="shared" si="19"/>
        <v>-0.2527603488732702</v>
      </c>
    </row>
    <row r="62" spans="1:26" s="70" customFormat="1" ht="15" hidden="1" customHeight="1" outlineLevel="2" x14ac:dyDescent="0.3">
      <c r="A62" s="26"/>
      <c r="B62" s="12" t="str">
        <f>CONCATENATE("          ","6113"," - ","GROUP INSURANCE")</f>
        <v xml:space="preserve">          6113 - GROUP INSURANCE</v>
      </c>
      <c r="C62" s="12"/>
      <c r="D62" s="8">
        <v>17210.37</v>
      </c>
      <c r="E62" s="3"/>
      <c r="F62" s="7">
        <f t="shared" si="12"/>
        <v>1.9724633079857192E-2</v>
      </c>
      <c r="G62" s="3"/>
      <c r="H62" s="8">
        <v>17692.9230769231</v>
      </c>
      <c r="I62" s="3"/>
      <c r="J62" s="7">
        <f t="shared" si="13"/>
        <v>2.7456258925958096E-2</v>
      </c>
      <c r="K62" s="3"/>
      <c r="L62" s="8">
        <f t="shared" si="14"/>
        <v>-482.55307692310089</v>
      </c>
      <c r="M62" s="3"/>
      <c r="N62" s="7">
        <f t="shared" si="15"/>
        <v>-2.7273790476854298E-2</v>
      </c>
      <c r="O62" s="12"/>
      <c r="P62" s="8">
        <v>142141.16</v>
      </c>
      <c r="Q62" s="3"/>
      <c r="R62" s="7">
        <f t="shared" si="16"/>
        <v>2.6467235557755178E-2</v>
      </c>
      <c r="S62" s="3"/>
      <c r="T62" s="8">
        <v>149690.57692307699</v>
      </c>
      <c r="U62" s="3"/>
      <c r="V62" s="7">
        <f t="shared" si="17"/>
        <v>1.9237187467343493E-2</v>
      </c>
      <c r="W62" s="3"/>
      <c r="X62" s="8">
        <f t="shared" si="18"/>
        <v>-7549.4169230769912</v>
      </c>
      <c r="Y62" s="3"/>
      <c r="Z62" s="7">
        <f t="shared" si="19"/>
        <v>-5.0433481373757319E-2</v>
      </c>
    </row>
    <row r="63" spans="1:26" s="70" customFormat="1" ht="15" hidden="1" customHeight="1" outlineLevel="2" x14ac:dyDescent="0.3">
      <c r="A63" s="26"/>
      <c r="B63" s="12" t="str">
        <f>CONCATENATE("          ","6114"," - ","STATE UNEMPLOYMENT INSURANCE")</f>
        <v xml:space="preserve">          6114 - STATE UNEMPLOYMENT INSURANCE</v>
      </c>
      <c r="C63" s="12"/>
      <c r="D63" s="8">
        <v>555.33000000000004</v>
      </c>
      <c r="E63" s="3"/>
      <c r="F63" s="7">
        <f t="shared" si="12"/>
        <v>6.3645816378364291E-4</v>
      </c>
      <c r="G63" s="3"/>
      <c r="H63" s="8">
        <v>373.32508425692299</v>
      </c>
      <c r="I63" s="3"/>
      <c r="J63" s="7">
        <f t="shared" si="13"/>
        <v>5.7933390273325893E-4</v>
      </c>
      <c r="K63" s="3"/>
      <c r="L63" s="8">
        <f t="shared" si="14"/>
        <v>182.00491574307705</v>
      </c>
      <c r="M63" s="3"/>
      <c r="N63" s="7">
        <f t="shared" si="15"/>
        <v>0.48752393937135213</v>
      </c>
      <c r="O63" s="12"/>
      <c r="P63" s="8">
        <v>3745.63</v>
      </c>
      <c r="Q63" s="3"/>
      <c r="R63" s="7">
        <f t="shared" si="16"/>
        <v>6.974508405742188E-4</v>
      </c>
      <c r="S63" s="3"/>
      <c r="T63" s="8">
        <v>3398.2923349644202</v>
      </c>
      <c r="U63" s="3"/>
      <c r="V63" s="7">
        <f t="shared" si="17"/>
        <v>4.3672479631193608E-4</v>
      </c>
      <c r="W63" s="3"/>
      <c r="X63" s="8">
        <f t="shared" si="18"/>
        <v>347.3376650355799</v>
      </c>
      <c r="Y63" s="3"/>
      <c r="Z63" s="7">
        <f t="shared" si="19"/>
        <v>0.10220947193444337</v>
      </c>
    </row>
    <row r="64" spans="1:26" s="70" customFormat="1" ht="15" hidden="1" customHeight="1" outlineLevel="2" x14ac:dyDescent="0.3">
      <c r="A64" s="26"/>
      <c r="B64" s="12" t="str">
        <f>CONCATENATE("          ","6115"," - ","P.E.R.S.")</f>
        <v xml:space="preserve">          6115 - P.E.R.S.</v>
      </c>
      <c r="C64" s="12"/>
      <c r="D64" s="8">
        <v>7468.83</v>
      </c>
      <c r="E64" s="3"/>
      <c r="F64" s="7">
        <f t="shared" si="12"/>
        <v>8.5599514296223599E-3</v>
      </c>
      <c r="G64" s="3"/>
      <c r="H64" s="8">
        <v>4613.5268585692302</v>
      </c>
      <c r="I64" s="3"/>
      <c r="J64" s="7">
        <f t="shared" si="13"/>
        <v>7.1593702996400246E-3</v>
      </c>
      <c r="K64" s="3"/>
      <c r="L64" s="8">
        <f t="shared" si="14"/>
        <v>2855.3031414307698</v>
      </c>
      <c r="M64" s="3"/>
      <c r="N64" s="7">
        <f t="shared" si="15"/>
        <v>0.61889812912377207</v>
      </c>
      <c r="O64" s="12"/>
      <c r="P64" s="8">
        <v>56352.56</v>
      </c>
      <c r="Q64" s="3"/>
      <c r="R64" s="7">
        <f t="shared" si="16"/>
        <v>1.0493065342948742E-2</v>
      </c>
      <c r="S64" s="3"/>
      <c r="T64" s="8">
        <v>42185.953474019203</v>
      </c>
      <c r="U64" s="3"/>
      <c r="V64" s="7">
        <f t="shared" si="17"/>
        <v>5.4214441025594523E-3</v>
      </c>
      <c r="W64" s="3"/>
      <c r="X64" s="8">
        <f t="shared" si="18"/>
        <v>14166.606525980795</v>
      </c>
      <c r="Y64" s="3"/>
      <c r="Z64" s="7">
        <f t="shared" si="19"/>
        <v>0.33581335395691586</v>
      </c>
    </row>
    <row r="65" spans="1:26" s="70" customFormat="1" ht="15" hidden="1" customHeight="1" outlineLevel="2" x14ac:dyDescent="0.3">
      <c r="A65" s="26"/>
      <c r="B65" s="12" t="str">
        <f>CONCATENATE("          ","6116"," - ","EDUCATIONAL BENEFITS")</f>
        <v xml:space="preserve">          6116 - EDUCATIONAL BENEFITS</v>
      </c>
      <c r="C65" s="12"/>
      <c r="D65" s="8"/>
      <c r="E65" s="3"/>
      <c r="F65" s="7">
        <f t="shared" si="12"/>
        <v>0</v>
      </c>
      <c r="G65" s="3"/>
      <c r="H65" s="8">
        <v>0</v>
      </c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/>
      <c r="Q65" s="3"/>
      <c r="R65" s="7">
        <f t="shared" si="16"/>
        <v>0</v>
      </c>
      <c r="S65" s="3"/>
      <c r="T65" s="8">
        <v>0</v>
      </c>
      <c r="U65" s="3"/>
      <c r="V65" s="7">
        <f t="shared" si="17"/>
        <v>0</v>
      </c>
      <c r="W65" s="3"/>
      <c r="X65" s="8">
        <f t="shared" si="18"/>
        <v>0</v>
      </c>
      <c r="Y65" s="3"/>
      <c r="Z65" s="7">
        <f t="shared" si="19"/>
        <v>0</v>
      </c>
    </row>
    <row r="66" spans="1:26" s="70" customFormat="1" ht="15" hidden="1" customHeight="1" outlineLevel="2" x14ac:dyDescent="0.3">
      <c r="A66" s="26"/>
      <c r="B66" s="12" t="str">
        <f>CONCATENATE("          ","6117"," - ","RETIREMENT STAFF HOURLY")</f>
        <v xml:space="preserve">          6117 - RETIREMENT STAFF HOURLY</v>
      </c>
      <c r="C66" s="12"/>
      <c r="D66" s="8">
        <v>952.3</v>
      </c>
      <c r="E66" s="3"/>
      <c r="F66" s="7">
        <f t="shared" si="12"/>
        <v>1.0914215140027787E-3</v>
      </c>
      <c r="G66" s="3"/>
      <c r="H66" s="8"/>
      <c r="I66" s="3"/>
      <c r="J66" s="7">
        <f t="shared" si="13"/>
        <v>0</v>
      </c>
      <c r="K66" s="3"/>
      <c r="L66" s="8">
        <f t="shared" si="14"/>
        <v>952.3</v>
      </c>
      <c r="M66" s="3"/>
      <c r="N66" s="7">
        <f t="shared" si="15"/>
        <v>0</v>
      </c>
      <c r="O66" s="12"/>
      <c r="P66" s="8">
        <v>5827.02</v>
      </c>
      <c r="Q66" s="3"/>
      <c r="R66" s="7">
        <f t="shared" si="16"/>
        <v>1.0850137352175161E-3</v>
      </c>
      <c r="S66" s="3"/>
      <c r="T66" s="8"/>
      <c r="U66" s="3"/>
      <c r="V66" s="7">
        <f t="shared" si="17"/>
        <v>0</v>
      </c>
      <c r="W66" s="3"/>
      <c r="X66" s="8">
        <f t="shared" si="18"/>
        <v>5827.02</v>
      </c>
      <c r="Y66" s="3"/>
      <c r="Z66" s="7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","6118"," - ","VACATION")</f>
        <v xml:space="preserve">          6118 - VACATION</v>
      </c>
      <c r="C67" s="12"/>
      <c r="D67" s="8">
        <v>8133.88</v>
      </c>
      <c r="E67" s="3"/>
      <c r="F67" s="7">
        <f t="shared" si="12"/>
        <v>9.3221585890128338E-3</v>
      </c>
      <c r="G67" s="3"/>
      <c r="H67" s="8">
        <v>4024.5376188230798</v>
      </c>
      <c r="I67" s="3"/>
      <c r="J67" s="7">
        <f t="shared" si="13"/>
        <v>6.2453641175769853E-3</v>
      </c>
      <c r="K67" s="3"/>
      <c r="L67" s="8">
        <f t="shared" si="14"/>
        <v>4109.3423811769208</v>
      </c>
      <c r="M67" s="3"/>
      <c r="N67" s="7">
        <f t="shared" si="15"/>
        <v>1.0210719268611634</v>
      </c>
      <c r="O67" s="12"/>
      <c r="P67" s="8">
        <v>52874.400000000001</v>
      </c>
      <c r="Q67" s="3"/>
      <c r="R67" s="7">
        <f t="shared" si="16"/>
        <v>9.8454184542673667E-3</v>
      </c>
      <c r="S67" s="3"/>
      <c r="T67" s="8">
        <v>37328.184933932702</v>
      </c>
      <c r="U67" s="3"/>
      <c r="V67" s="7">
        <f t="shared" si="17"/>
        <v>4.7971576177352976E-3</v>
      </c>
      <c r="W67" s="3"/>
      <c r="X67" s="8">
        <f t="shared" si="18"/>
        <v>15546.2150660673</v>
      </c>
      <c r="Y67" s="3"/>
      <c r="Z67" s="7">
        <f t="shared" si="19"/>
        <v>0.41647390821660912</v>
      </c>
    </row>
    <row r="68" spans="1:26" s="70" customFormat="1" ht="15" hidden="1" customHeight="1" outlineLevel="2" x14ac:dyDescent="0.3">
      <c r="A68" s="26"/>
      <c r="B68" s="12" t="str">
        <f>CONCATENATE("          ","6119"," - ","SICK LEAVE")</f>
        <v xml:space="preserve">          6119 - SICK LEAVE</v>
      </c>
      <c r="C68" s="12"/>
      <c r="D68" s="8">
        <v>-23388.1</v>
      </c>
      <c r="E68" s="3"/>
      <c r="F68" s="7">
        <f t="shared" si="12"/>
        <v>-2.6804867700985391E-2</v>
      </c>
      <c r="G68" s="3"/>
      <c r="H68" s="8">
        <v>6518.7033206461501</v>
      </c>
      <c r="I68" s="3"/>
      <c r="J68" s="7">
        <f t="shared" si="13"/>
        <v>1.0115864148338852E-2</v>
      </c>
      <c r="K68" s="3"/>
      <c r="L68" s="8">
        <f t="shared" si="14"/>
        <v>-29906.803320646148</v>
      </c>
      <c r="M68" s="3"/>
      <c r="N68" s="7">
        <f t="shared" si="15"/>
        <v>-4.587845442501548</v>
      </c>
      <c r="O68" s="12"/>
      <c r="P68" s="8">
        <v>16178.6</v>
      </c>
      <c r="Q68" s="3"/>
      <c r="R68" s="7">
        <f t="shared" si="16"/>
        <v>3.0125180995757873E-3</v>
      </c>
      <c r="S68" s="3"/>
      <c r="T68" s="8">
        <v>59268.3928340192</v>
      </c>
      <c r="U68" s="3"/>
      <c r="V68" s="7">
        <f t="shared" si="17"/>
        <v>7.6167599008058412E-3</v>
      </c>
      <c r="W68" s="3"/>
      <c r="X68" s="8">
        <f t="shared" si="18"/>
        <v>-43089.792834019201</v>
      </c>
      <c r="Y68" s="3"/>
      <c r="Z68" s="7">
        <f t="shared" si="19"/>
        <v>-0.7270281978911074</v>
      </c>
    </row>
    <row r="69" spans="1:26" s="70" customFormat="1" ht="15" hidden="1" customHeight="1" outlineLevel="2" x14ac:dyDescent="0.3">
      <c r="A69" s="26"/>
      <c r="B69" s="12" t="str">
        <f>CONCATENATE("          ","6156"," - ","EMPLOYEE MEALS")</f>
        <v xml:space="preserve">          6156 - EMPLOYEE MEALS</v>
      </c>
      <c r="C69" s="12"/>
      <c r="D69" s="8">
        <v>3975.72</v>
      </c>
      <c r="E69" s="3"/>
      <c r="F69" s="7">
        <f t="shared" si="12"/>
        <v>4.5565329640356268E-3</v>
      </c>
      <c r="G69" s="3"/>
      <c r="H69" s="8">
        <v>2275</v>
      </c>
      <c r="I69" s="3"/>
      <c r="J69" s="7">
        <f t="shared" si="13"/>
        <v>3.5303939764495564E-3</v>
      </c>
      <c r="K69" s="3"/>
      <c r="L69" s="8">
        <f t="shared" si="14"/>
        <v>1700.7199999999998</v>
      </c>
      <c r="M69" s="3"/>
      <c r="N69" s="7">
        <f t="shared" si="15"/>
        <v>0.74756923076923065</v>
      </c>
      <c r="O69" s="12"/>
      <c r="P69" s="8">
        <v>23276.83</v>
      </c>
      <c r="Q69" s="3"/>
      <c r="R69" s="7">
        <f t="shared" si="16"/>
        <v>4.3342360696073008E-3</v>
      </c>
      <c r="S69" s="3"/>
      <c r="T69" s="8">
        <v>19075</v>
      </c>
      <c r="U69" s="3"/>
      <c r="V69" s="7">
        <f t="shared" si="17"/>
        <v>2.4513857751256116E-3</v>
      </c>
      <c r="W69" s="3"/>
      <c r="X69" s="8">
        <f t="shared" si="18"/>
        <v>4201.8300000000017</v>
      </c>
      <c r="Y69" s="3"/>
      <c r="Z69" s="7">
        <f t="shared" si="19"/>
        <v>0.22027942332896472</v>
      </c>
    </row>
    <row r="70" spans="1:26" s="69" customFormat="1" ht="15" customHeight="1" outlineLevel="1" collapsed="1" x14ac:dyDescent="0.3">
      <c r="A70" s="25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213287.57</v>
      </c>
      <c r="E70" s="2"/>
      <c r="F70" s="6">
        <f t="shared" si="12"/>
        <v>0.24444675266971927</v>
      </c>
      <c r="G70" s="2"/>
      <c r="H70" s="2">
        <f>SUM(OSRRefH22_1x_0)</f>
        <v>170189.18983948458</v>
      </c>
      <c r="I70" s="2"/>
      <c r="J70" s="6">
        <f t="shared" si="13"/>
        <v>0.26410324864445994</v>
      </c>
      <c r="K70" s="2"/>
      <c r="L70" s="2">
        <f t="shared" si="14"/>
        <v>43098.380160515429</v>
      </c>
      <c r="M70" s="2"/>
      <c r="N70" s="6">
        <f t="shared" si="15"/>
        <v>0.25323805936889437</v>
      </c>
      <c r="O70" s="14"/>
      <c r="P70" s="2">
        <f>SUM(OSRRefP22_1x_0)</f>
        <v>1400799.48</v>
      </c>
      <c r="Q70" s="2"/>
      <c r="R70" s="6">
        <f t="shared" si="16"/>
        <v>0.26083429885010762</v>
      </c>
      <c r="S70" s="2"/>
      <c r="T70" s="2">
        <f>SUM(OSRRefT22_1x_0)</f>
        <v>1550745.7094902024</v>
      </c>
      <c r="U70" s="2"/>
      <c r="V70" s="6">
        <f t="shared" si="17"/>
        <v>0.19929100776311176</v>
      </c>
      <c r="W70" s="2"/>
      <c r="X70" s="2">
        <f t="shared" si="18"/>
        <v>-149946.22949020239</v>
      </c>
      <c r="Y70" s="2"/>
      <c r="Z70" s="6">
        <f t="shared" si="19"/>
        <v>-9.6692983622373677E-2</v>
      </c>
    </row>
    <row r="71" spans="1:26" s="70" customFormat="1" ht="15" hidden="1" customHeight="1" outlineLevel="2" x14ac:dyDescent="0.3">
      <c r="A71" s="26"/>
      <c r="B71" s="12" t="str">
        <f>CONCATENATE("          ","6001"," - ","ADMINISTRATIVE SALARIES")</f>
        <v xml:space="preserve">          6001 - ADMINISTRATIVE SALARIES</v>
      </c>
      <c r="C71" s="12"/>
      <c r="D71" s="8">
        <v>7265.35</v>
      </c>
      <c r="E71" s="3"/>
      <c r="F71" s="7">
        <f t="shared" si="12"/>
        <v>8.326745034926062E-3</v>
      </c>
      <c r="G71" s="3"/>
      <c r="H71" s="8">
        <v>4139.8076923076896</v>
      </c>
      <c r="I71" s="3"/>
      <c r="J71" s="7">
        <f t="shared" si="13"/>
        <v>6.4242426991571898E-3</v>
      </c>
      <c r="K71" s="3"/>
      <c r="L71" s="8">
        <f t="shared" si="14"/>
        <v>3125.5423076923107</v>
      </c>
      <c r="M71" s="3"/>
      <c r="N71" s="7">
        <f t="shared" si="15"/>
        <v>0.75499698053607223</v>
      </c>
      <c r="O71" s="12"/>
      <c r="P71" s="8">
        <v>40957.550000000003</v>
      </c>
      <c r="Q71" s="3"/>
      <c r="R71" s="7">
        <f t="shared" si="16"/>
        <v>7.6264547420221949E-3</v>
      </c>
      <c r="S71" s="3"/>
      <c r="T71" s="8">
        <v>36223.317307692298</v>
      </c>
      <c r="U71" s="3"/>
      <c r="V71" s="7">
        <f t="shared" si="17"/>
        <v>4.6551677471003026E-3</v>
      </c>
      <c r="W71" s="3"/>
      <c r="X71" s="8">
        <f t="shared" si="18"/>
        <v>4734.2326923077053</v>
      </c>
      <c r="Y71" s="3"/>
      <c r="Z71" s="7">
        <f t="shared" si="19"/>
        <v>0.13069572430635321</v>
      </c>
    </row>
    <row r="72" spans="1:26" s="70" customFormat="1" ht="15" hidden="1" customHeight="1" outlineLevel="2" x14ac:dyDescent="0.3">
      <c r="A72" s="26"/>
      <c r="B72" s="12" t="str">
        <f>CONCATENATE("          ","6002"," - ","STAFF SALARIES")</f>
        <v xml:space="preserve">          6002 - STAFF SALARIES</v>
      </c>
      <c r="C72" s="12"/>
      <c r="D72" s="8">
        <v>68131.97</v>
      </c>
      <c r="E72" s="3"/>
      <c r="F72" s="7">
        <f t="shared" si="12"/>
        <v>7.8085369998311352E-2</v>
      </c>
      <c r="G72" s="3"/>
      <c r="H72" s="8">
        <v>44231.773854176899</v>
      </c>
      <c r="I72" s="3"/>
      <c r="J72" s="7">
        <f t="shared" si="13"/>
        <v>6.8639818893391255E-2</v>
      </c>
      <c r="K72" s="3"/>
      <c r="L72" s="8">
        <f t="shared" si="14"/>
        <v>23900.196145823102</v>
      </c>
      <c r="M72" s="3"/>
      <c r="N72" s="7">
        <f t="shared" si="15"/>
        <v>0.5403399878245253</v>
      </c>
      <c r="O72" s="12"/>
      <c r="P72" s="8">
        <v>479206.74</v>
      </c>
      <c r="Q72" s="3"/>
      <c r="R72" s="7">
        <f t="shared" si="16"/>
        <v>8.9230154505872475E-2</v>
      </c>
      <c r="S72" s="3"/>
      <c r="T72" s="8">
        <v>404992.60776251002</v>
      </c>
      <c r="U72" s="3"/>
      <c r="V72" s="7">
        <f t="shared" si="17"/>
        <v>5.2046821373527834E-2</v>
      </c>
      <c r="W72" s="3"/>
      <c r="X72" s="8">
        <f t="shared" si="18"/>
        <v>74214.132237489976</v>
      </c>
      <c r="Y72" s="3"/>
      <c r="Z72" s="7">
        <f t="shared" si="19"/>
        <v>0.1832481156816807</v>
      </c>
    </row>
    <row r="73" spans="1:26" s="70" customFormat="1" ht="15" hidden="1" customHeight="1" outlineLevel="2" x14ac:dyDescent="0.3">
      <c r="A73" s="26"/>
      <c r="B73" s="12" t="str">
        <f>CONCATENATE("          ","6003"," - ","STAFF HOURLY-9 MONTH")</f>
        <v xml:space="preserve">          6003 - STAFF HOURLY-9 MONTH</v>
      </c>
      <c r="C73" s="12"/>
      <c r="D73" s="8"/>
      <c r="E73" s="3"/>
      <c r="F73" s="7">
        <f t="shared" si="12"/>
        <v>0</v>
      </c>
      <c r="G73" s="3"/>
      <c r="H73" s="8">
        <v>0</v>
      </c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8">
        <v>38128.58</v>
      </c>
      <c r="E74" s="3"/>
      <c r="F74" s="7">
        <f t="shared" si="12"/>
        <v>4.3698784532580144E-2</v>
      </c>
      <c r="G74" s="3"/>
      <c r="H74" s="8">
        <v>40856.588567999999</v>
      </c>
      <c r="I74" s="3"/>
      <c r="J74" s="7">
        <f t="shared" si="13"/>
        <v>6.3402133704942867E-2</v>
      </c>
      <c r="K74" s="3"/>
      <c r="L74" s="8">
        <f t="shared" si="14"/>
        <v>-2728.0085679999975</v>
      </c>
      <c r="M74" s="3"/>
      <c r="N74" s="7">
        <f t="shared" si="15"/>
        <v>-6.6770346316595036E-2</v>
      </c>
      <c r="O74" s="12"/>
      <c r="P74" s="8">
        <v>199480.75</v>
      </c>
      <c r="Q74" s="3"/>
      <c r="R74" s="7">
        <f t="shared" si="16"/>
        <v>3.714408971678345E-2</v>
      </c>
      <c r="S74" s="3"/>
      <c r="T74" s="8">
        <v>324860.00977</v>
      </c>
      <c r="U74" s="3"/>
      <c r="V74" s="7">
        <f t="shared" si="17"/>
        <v>4.1748739546911939E-2</v>
      </c>
      <c r="W74" s="3"/>
      <c r="X74" s="8">
        <f t="shared" si="18"/>
        <v>-125379.25977</v>
      </c>
      <c r="Y74" s="3"/>
      <c r="Z74" s="7">
        <f t="shared" si="19"/>
        <v>-0.38594858092495959</v>
      </c>
    </row>
    <row r="75" spans="1:26" s="70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8">
        <v>11324.56</v>
      </c>
      <c r="E75" s="3"/>
      <c r="F75" s="7">
        <f t="shared" si="12"/>
        <v>1.2978965053675635E-2</v>
      </c>
      <c r="G75" s="3"/>
      <c r="H75" s="8">
        <v>1802</v>
      </c>
      <c r="I75" s="3"/>
      <c r="J75" s="7">
        <f t="shared" si="13"/>
        <v>2.7963823936536709E-3</v>
      </c>
      <c r="K75" s="3"/>
      <c r="L75" s="8">
        <f t="shared" si="14"/>
        <v>9522.56</v>
      </c>
      <c r="M75" s="3"/>
      <c r="N75" s="7">
        <f t="shared" si="15"/>
        <v>5.2844395116537175</v>
      </c>
      <c r="O75" s="12"/>
      <c r="P75" s="8">
        <v>85351.039999999994</v>
      </c>
      <c r="Q75" s="3"/>
      <c r="R75" s="7">
        <f t="shared" si="16"/>
        <v>1.589269484489492E-2</v>
      </c>
      <c r="S75" s="3"/>
      <c r="T75" s="8">
        <v>27180.34</v>
      </c>
      <c r="U75" s="3"/>
      <c r="V75" s="7">
        <f t="shared" si="17"/>
        <v>3.4930274620748451E-3</v>
      </c>
      <c r="W75" s="3"/>
      <c r="X75" s="8">
        <f t="shared" si="18"/>
        <v>58170.7</v>
      </c>
      <c r="Y75" s="3"/>
      <c r="Z75" s="7">
        <f t="shared" si="19"/>
        <v>2.1401755827925624</v>
      </c>
    </row>
    <row r="76" spans="1:26" s="70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8">
        <v>2951.4</v>
      </c>
      <c r="E76" s="3"/>
      <c r="F76" s="7">
        <f t="shared" si="12"/>
        <v>3.3825700477032464E-3</v>
      </c>
      <c r="G76" s="3"/>
      <c r="H76" s="8">
        <v>0</v>
      </c>
      <c r="I76" s="3"/>
      <c r="J76" s="7">
        <f t="shared" si="13"/>
        <v>0</v>
      </c>
      <c r="K76" s="3"/>
      <c r="L76" s="8">
        <f t="shared" si="14"/>
        <v>2951.4</v>
      </c>
      <c r="M76" s="3"/>
      <c r="N76" s="7">
        <f t="shared" si="15"/>
        <v>0</v>
      </c>
      <c r="O76" s="12"/>
      <c r="P76" s="8">
        <v>14921.37</v>
      </c>
      <c r="Q76" s="3"/>
      <c r="R76" s="7">
        <f t="shared" si="16"/>
        <v>2.7784169950098997E-3</v>
      </c>
      <c r="S76" s="3"/>
      <c r="T76" s="8">
        <v>0</v>
      </c>
      <c r="U76" s="3"/>
      <c r="V76" s="7">
        <f t="shared" si="17"/>
        <v>0</v>
      </c>
      <c r="W76" s="3"/>
      <c r="X76" s="8">
        <f t="shared" si="18"/>
        <v>14921.37</v>
      </c>
      <c r="Y76" s="3"/>
      <c r="Z76" s="7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8">
        <v>69472.740000000005</v>
      </c>
      <c r="E77" s="3"/>
      <c r="F77" s="7">
        <f t="shared" si="12"/>
        <v>7.9622013097470773E-2</v>
      </c>
      <c r="G77" s="3"/>
      <c r="H77" s="8">
        <v>30933.624</v>
      </c>
      <c r="I77" s="3"/>
      <c r="J77" s="7">
        <f t="shared" si="13"/>
        <v>4.8003463665650739E-2</v>
      </c>
      <c r="K77" s="3"/>
      <c r="L77" s="8">
        <f t="shared" si="14"/>
        <v>38539.116000000009</v>
      </c>
      <c r="M77" s="3"/>
      <c r="N77" s="7">
        <f t="shared" si="15"/>
        <v>1.2458648879937251</v>
      </c>
      <c r="O77" s="12"/>
      <c r="P77" s="8">
        <v>501917.78</v>
      </c>
      <c r="Q77" s="3"/>
      <c r="R77" s="7">
        <f t="shared" si="16"/>
        <v>9.3459038281983486E-2</v>
      </c>
      <c r="S77" s="3"/>
      <c r="T77" s="8">
        <v>296916.71399999998</v>
      </c>
      <c r="U77" s="3"/>
      <c r="V77" s="7">
        <f t="shared" si="17"/>
        <v>3.8157662337962757E-2</v>
      </c>
      <c r="W77" s="3"/>
      <c r="X77" s="8">
        <f t="shared" si="18"/>
        <v>205001.06600000005</v>
      </c>
      <c r="Y77" s="3"/>
      <c r="Z77" s="7">
        <f t="shared" si="19"/>
        <v>0.69043289358240734</v>
      </c>
    </row>
    <row r="78" spans="1:26" s="70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8">
        <v>16012.97</v>
      </c>
      <c r="E78" s="3"/>
      <c r="F78" s="7">
        <f t="shared" si="12"/>
        <v>1.8352304905052057E-2</v>
      </c>
      <c r="G78" s="3"/>
      <c r="H78" s="8">
        <v>48225.395725000002</v>
      </c>
      <c r="I78" s="3"/>
      <c r="J78" s="7">
        <f t="shared" si="13"/>
        <v>7.483720728766427E-2</v>
      </c>
      <c r="K78" s="3"/>
      <c r="L78" s="8">
        <f t="shared" si="14"/>
        <v>-32212.425725000001</v>
      </c>
      <c r="M78" s="3"/>
      <c r="N78" s="7">
        <f t="shared" si="15"/>
        <v>-0.66795565367027376</v>
      </c>
      <c r="O78" s="12"/>
      <c r="P78" s="8">
        <v>78964.25</v>
      </c>
      <c r="Q78" s="3"/>
      <c r="R78" s="7">
        <f t="shared" si="16"/>
        <v>1.470344976354118E-2</v>
      </c>
      <c r="S78" s="3"/>
      <c r="T78" s="8">
        <v>460572.72064999997</v>
      </c>
      <c r="U78" s="3"/>
      <c r="V78" s="7">
        <f t="shared" si="17"/>
        <v>5.9189589295534056E-2</v>
      </c>
      <c r="W78" s="3"/>
      <c r="X78" s="8">
        <f t="shared" si="18"/>
        <v>-381608.47064999997</v>
      </c>
      <c r="Y78" s="3"/>
      <c r="Z78" s="7">
        <f t="shared" si="19"/>
        <v>-0.82855204735408816</v>
      </c>
    </row>
    <row r="79" spans="1:26" s="70" customFormat="1" ht="15" hidden="1" customHeight="1" outlineLevel="2" x14ac:dyDescent="0.3">
      <c r="A79" s="26"/>
      <c r="B79" s="12" t="str">
        <f>CONCATENATE("          ","6009"," - ","TEMPORARY-SEASONAL")</f>
        <v xml:space="preserve">          6009 - TEMPORARY-SEASONAL</v>
      </c>
      <c r="C79" s="12"/>
      <c r="D79" s="8"/>
      <c r="E79" s="3"/>
      <c r="F79" s="7">
        <f t="shared" si="12"/>
        <v>0</v>
      </c>
      <c r="G79" s="3"/>
      <c r="H79" s="8">
        <v>0</v>
      </c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0</v>
      </c>
      <c r="U79" s="3"/>
      <c r="V79" s="7">
        <f t="shared" si="17"/>
        <v>0</v>
      </c>
      <c r="W79" s="3"/>
      <c r="X79" s="8">
        <f t="shared" si="18"/>
        <v>0</v>
      </c>
      <c r="Y79" s="3"/>
      <c r="Z79" s="7">
        <f t="shared" si="19"/>
        <v>0</v>
      </c>
    </row>
    <row r="80" spans="1:26" s="70" customFormat="1" ht="15" hidden="1" customHeight="1" outlineLevel="2" x14ac:dyDescent="0.3">
      <c r="A80" s="26"/>
      <c r="B80" s="12" t="str">
        <f>CONCATENATE("          ","6010"," - ","GRATUITY")</f>
        <v xml:space="preserve">          6010 - GRATUITY</v>
      </c>
      <c r="C80" s="12"/>
      <c r="D80" s="8"/>
      <c r="E80" s="3"/>
      <c r="F80" s="7">
        <f t="shared" si="12"/>
        <v>0</v>
      </c>
      <c r="G80" s="3"/>
      <c r="H80" s="8">
        <v>0</v>
      </c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0</v>
      </c>
      <c r="U80" s="3"/>
      <c r="V80" s="7">
        <f t="shared" si="17"/>
        <v>0</v>
      </c>
      <c r="W80" s="3"/>
      <c r="X80" s="8">
        <f t="shared" si="18"/>
        <v>0</v>
      </c>
      <c r="Y80" s="3"/>
      <c r="Z80" s="7">
        <f t="shared" si="19"/>
        <v>0</v>
      </c>
    </row>
    <row r="81" spans="1:26" s="69" customFormat="1" ht="15" customHeight="1" outlineLevel="1" collapsed="1" x14ac:dyDescent="0.3">
      <c r="A81" s="25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891.78</v>
      </c>
      <c r="E81" s="2"/>
      <c r="F81" s="6">
        <f t="shared" si="12"/>
        <v>1.0220601467577424E-3</v>
      </c>
      <c r="G81" s="2"/>
      <c r="H81" s="2">
        <f>SUM(OSRRefH22_2x_0)</f>
        <v>300</v>
      </c>
      <c r="I81" s="2"/>
      <c r="J81" s="6">
        <f t="shared" si="13"/>
        <v>4.6554645843290856E-4</v>
      </c>
      <c r="K81" s="2"/>
      <c r="L81" s="2">
        <f t="shared" si="14"/>
        <v>591.78</v>
      </c>
      <c r="M81" s="2"/>
      <c r="N81" s="6">
        <f t="shared" si="15"/>
        <v>1.9725999999999999</v>
      </c>
      <c r="O81" s="14"/>
      <c r="P81" s="2">
        <f>SUM(OSRRefP22_2x_0)</f>
        <v>7260.23</v>
      </c>
      <c r="Q81" s="2"/>
      <c r="R81" s="6">
        <f t="shared" si="16"/>
        <v>1.3518829986576785E-3</v>
      </c>
      <c r="S81" s="2"/>
      <c r="T81" s="2">
        <f>SUM(OSRRefT22_2x_0)</f>
        <v>5800</v>
      </c>
      <c r="U81" s="2"/>
      <c r="V81" s="6">
        <f t="shared" si="17"/>
        <v>7.4537549125706676E-4</v>
      </c>
      <c r="W81" s="2"/>
      <c r="X81" s="2">
        <f t="shared" si="18"/>
        <v>1460.2299999999996</v>
      </c>
      <c r="Y81" s="2"/>
      <c r="Z81" s="6">
        <f t="shared" si="19"/>
        <v>0.25176379310344821</v>
      </c>
    </row>
    <row r="82" spans="1:26" s="70" customFormat="1" ht="15" hidden="1" customHeight="1" outlineLevel="2" x14ac:dyDescent="0.3">
      <c r="A82" s="26"/>
      <c r="B82" s="12" t="str">
        <f>CONCATENATE("          ","6362"," - ","ADVERTISING EXPENSE")</f>
        <v xml:space="preserve">          6362 - ADVERTISING EXPENSE</v>
      </c>
      <c r="C82" s="12"/>
      <c r="D82" s="8">
        <v>891.78</v>
      </c>
      <c r="E82" s="3"/>
      <c r="F82" s="7">
        <f t="shared" si="12"/>
        <v>1.0220601467577424E-3</v>
      </c>
      <c r="G82" s="3"/>
      <c r="H82" s="8">
        <v>300</v>
      </c>
      <c r="I82" s="3"/>
      <c r="J82" s="7">
        <f t="shared" si="13"/>
        <v>4.6554645843290856E-4</v>
      </c>
      <c r="K82" s="3"/>
      <c r="L82" s="8">
        <f t="shared" si="14"/>
        <v>591.78</v>
      </c>
      <c r="M82" s="3"/>
      <c r="N82" s="7">
        <f t="shared" si="15"/>
        <v>1.9725999999999999</v>
      </c>
      <c r="O82" s="12"/>
      <c r="P82" s="8">
        <v>7260.23</v>
      </c>
      <c r="Q82" s="3"/>
      <c r="R82" s="7">
        <f t="shared" si="16"/>
        <v>1.3518829986576785E-3</v>
      </c>
      <c r="S82" s="3"/>
      <c r="T82" s="8">
        <v>5800</v>
      </c>
      <c r="U82" s="3"/>
      <c r="V82" s="7">
        <f t="shared" si="17"/>
        <v>7.4537549125706676E-4</v>
      </c>
      <c r="W82" s="3"/>
      <c r="X82" s="8">
        <f t="shared" si="18"/>
        <v>1460.2299999999996</v>
      </c>
      <c r="Y82" s="3"/>
      <c r="Z82" s="7">
        <f t="shared" si="19"/>
        <v>0.25176379310344821</v>
      </c>
    </row>
    <row r="83" spans="1:26" s="69" customFormat="1" ht="15" customHeight="1" outlineLevel="1" collapsed="1" x14ac:dyDescent="0.3">
      <c r="A83" s="25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-51.31</v>
      </c>
      <c r="E83" s="2"/>
      <c r="F83" s="6">
        <f t="shared" si="12"/>
        <v>-5.8805878277310285E-5</v>
      </c>
      <c r="G83" s="2"/>
      <c r="H83" s="2">
        <f>SUM(OSRRefH22_3x_0)</f>
        <v>235</v>
      </c>
      <c r="I83" s="2"/>
      <c r="J83" s="6">
        <f t="shared" si="13"/>
        <v>3.6467805910577838E-4</v>
      </c>
      <c r="K83" s="2"/>
      <c r="L83" s="2">
        <f t="shared" si="14"/>
        <v>-286.31</v>
      </c>
      <c r="M83" s="2"/>
      <c r="N83" s="6">
        <f t="shared" si="15"/>
        <v>-1.2183404255319148</v>
      </c>
      <c r="O83" s="14"/>
      <c r="P83" s="2">
        <f>SUM(OSRRefP22_3x_0)</f>
        <v>108.79</v>
      </c>
      <c r="Q83" s="2"/>
      <c r="R83" s="6">
        <f t="shared" si="16"/>
        <v>2.0257120149632843E-5</v>
      </c>
      <c r="S83" s="2"/>
      <c r="T83" s="2">
        <f>SUM(OSRRefT22_3x_0)</f>
        <v>1880</v>
      </c>
      <c r="U83" s="2"/>
      <c r="V83" s="6">
        <f t="shared" si="17"/>
        <v>2.4160446957987683E-4</v>
      </c>
      <c r="W83" s="2"/>
      <c r="X83" s="2">
        <f t="shared" si="18"/>
        <v>-1771.21</v>
      </c>
      <c r="Y83" s="2"/>
      <c r="Z83" s="6">
        <f t="shared" si="19"/>
        <v>-0.94213297872340429</v>
      </c>
    </row>
    <row r="84" spans="1:26" s="70" customFormat="1" ht="15" hidden="1" customHeight="1" outlineLevel="2" x14ac:dyDescent="0.3">
      <c r="A84" s="26"/>
      <c r="B84" s="12" t="str">
        <f>CONCATENATE("          ","6272"," - ","CASH (OVER/SHORT)")</f>
        <v xml:space="preserve">          6272 - CASH (OVER/SHORT)</v>
      </c>
      <c r="C84" s="12"/>
      <c r="D84" s="8">
        <v>-51.31</v>
      </c>
      <c r="E84" s="3"/>
      <c r="F84" s="7">
        <f t="shared" si="12"/>
        <v>-5.8805878277310285E-5</v>
      </c>
      <c r="G84" s="3"/>
      <c r="H84" s="8">
        <v>235</v>
      </c>
      <c r="I84" s="3"/>
      <c r="J84" s="7">
        <f t="shared" si="13"/>
        <v>3.6467805910577838E-4</v>
      </c>
      <c r="K84" s="3"/>
      <c r="L84" s="8">
        <f t="shared" si="14"/>
        <v>-286.31</v>
      </c>
      <c r="M84" s="3"/>
      <c r="N84" s="7">
        <f t="shared" si="15"/>
        <v>-1.2183404255319148</v>
      </c>
      <c r="O84" s="12"/>
      <c r="P84" s="8">
        <v>108.79</v>
      </c>
      <c r="Q84" s="3"/>
      <c r="R84" s="7">
        <f t="shared" si="16"/>
        <v>2.0257120149632843E-5</v>
      </c>
      <c r="S84" s="3"/>
      <c r="T84" s="8">
        <v>1880</v>
      </c>
      <c r="U84" s="3"/>
      <c r="V84" s="7">
        <f t="shared" si="17"/>
        <v>2.4160446957987683E-4</v>
      </c>
      <c r="W84" s="3"/>
      <c r="X84" s="8">
        <f t="shared" si="18"/>
        <v>-1771.21</v>
      </c>
      <c r="Y84" s="3"/>
      <c r="Z84" s="7">
        <f t="shared" si="19"/>
        <v>-0.94213297872340429</v>
      </c>
    </row>
    <row r="85" spans="1:26" s="69" customFormat="1" ht="15" customHeight="1" outlineLevel="1" collapsed="1" x14ac:dyDescent="0.3">
      <c r="A85" s="25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19602.71</v>
      </c>
      <c r="E85" s="2"/>
      <c r="F85" s="6">
        <f t="shared" si="12"/>
        <v>2.2466470048049365E-2</v>
      </c>
      <c r="G85" s="2"/>
      <c r="H85" s="2">
        <f>SUM(OSRRefH22_4x_0)</f>
        <v>14012</v>
      </c>
      <c r="I85" s="2"/>
      <c r="J85" s="6">
        <f t="shared" si="13"/>
        <v>2.1744123251873047E-2</v>
      </c>
      <c r="K85" s="2"/>
      <c r="L85" s="2">
        <f t="shared" si="14"/>
        <v>5590.7099999999991</v>
      </c>
      <c r="M85" s="2"/>
      <c r="N85" s="6">
        <f t="shared" si="15"/>
        <v>0.3989944333428489</v>
      </c>
      <c r="O85" s="14"/>
      <c r="P85" s="2">
        <f>SUM(OSRRefP22_4x_0)</f>
        <v>103365.12</v>
      </c>
      <c r="Q85" s="2"/>
      <c r="R85" s="6">
        <f t="shared" si="16"/>
        <v>1.9246986442882769E-2</v>
      </c>
      <c r="S85" s="2"/>
      <c r="T85" s="2">
        <f>SUM(OSRRefT22_4x_0)</f>
        <v>158408.25</v>
      </c>
      <c r="U85" s="2"/>
      <c r="V85" s="6">
        <f t="shared" si="17"/>
        <v>2.0357521924641766E-2</v>
      </c>
      <c r="W85" s="2"/>
      <c r="X85" s="2">
        <f t="shared" si="18"/>
        <v>-55043.130000000005</v>
      </c>
      <c r="Y85" s="2"/>
      <c r="Z85" s="6">
        <f t="shared" si="19"/>
        <v>-0.34747640984607814</v>
      </c>
    </row>
    <row r="86" spans="1:26" s="70" customFormat="1" ht="15" hidden="1" customHeight="1" outlineLevel="2" x14ac:dyDescent="0.3">
      <c r="A86" s="26"/>
      <c r="B86" s="12" t="str">
        <f>CONCATENATE("          ","6381"," - ","BANK/CREDIT CARD FEES")</f>
        <v xml:space="preserve">          6381 - BANK/CREDIT CARD FEES</v>
      </c>
      <c r="C86" s="12"/>
      <c r="D86" s="8">
        <v>19602.71</v>
      </c>
      <c r="E86" s="3"/>
      <c r="F86" s="7">
        <f t="shared" si="12"/>
        <v>2.2466470048049365E-2</v>
      </c>
      <c r="G86" s="3"/>
      <c r="H86" s="8">
        <v>14012</v>
      </c>
      <c r="I86" s="3"/>
      <c r="J86" s="7">
        <f t="shared" si="13"/>
        <v>2.1744123251873047E-2</v>
      </c>
      <c r="K86" s="3"/>
      <c r="L86" s="8">
        <f t="shared" si="14"/>
        <v>5590.7099999999991</v>
      </c>
      <c r="M86" s="3"/>
      <c r="N86" s="7">
        <f t="shared" si="15"/>
        <v>0.3989944333428489</v>
      </c>
      <c r="O86" s="12"/>
      <c r="P86" s="8">
        <v>103365.12</v>
      </c>
      <c r="Q86" s="3"/>
      <c r="R86" s="7">
        <f t="shared" si="16"/>
        <v>1.9246986442882769E-2</v>
      </c>
      <c r="S86" s="3"/>
      <c r="T86" s="8">
        <v>158408.25</v>
      </c>
      <c r="U86" s="3"/>
      <c r="V86" s="7">
        <f t="shared" si="17"/>
        <v>2.0357521924641766E-2</v>
      </c>
      <c r="W86" s="3"/>
      <c r="X86" s="8">
        <f t="shared" si="18"/>
        <v>-55043.130000000005</v>
      </c>
      <c r="Y86" s="3"/>
      <c r="Z86" s="7">
        <f t="shared" si="19"/>
        <v>-0.34747640984607814</v>
      </c>
    </row>
    <row r="87" spans="1:26" s="69" customFormat="1" ht="15" customHeight="1" outlineLevel="1" collapsed="1" x14ac:dyDescent="0.3">
      <c r="A87" s="25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33864.79</v>
      </c>
      <c r="E87" s="2"/>
      <c r="F87" s="6">
        <f t="shared" si="12"/>
        <v>3.8812097420126181E-2</v>
      </c>
      <c r="G87" s="2"/>
      <c r="H87" s="2">
        <f>SUM(OSRRefH22_5x_0)</f>
        <v>33743</v>
      </c>
      <c r="I87" s="2"/>
      <c r="J87" s="6">
        <f t="shared" si="13"/>
        <v>5.2363113823005444E-2</v>
      </c>
      <c r="K87" s="2"/>
      <c r="L87" s="2">
        <f t="shared" si="14"/>
        <v>121.79000000000087</v>
      </c>
      <c r="M87" s="2"/>
      <c r="N87" s="6">
        <f t="shared" si="15"/>
        <v>3.6093411966926733E-3</v>
      </c>
      <c r="O87" s="14"/>
      <c r="P87" s="2">
        <f>SUM(OSRRefP22_5x_0)</f>
        <v>292926.92</v>
      </c>
      <c r="Q87" s="2"/>
      <c r="R87" s="6">
        <f t="shared" si="16"/>
        <v>5.4544129180089045E-2</v>
      </c>
      <c r="S87" s="2"/>
      <c r="T87" s="2">
        <f>SUM(OSRRefT22_5x_0)</f>
        <v>291951</v>
      </c>
      <c r="U87" s="2"/>
      <c r="V87" s="6">
        <f t="shared" si="17"/>
        <v>3.7519503456550328E-2</v>
      </c>
      <c r="W87" s="2"/>
      <c r="X87" s="2">
        <f t="shared" si="18"/>
        <v>975.9199999999837</v>
      </c>
      <c r="Y87" s="2"/>
      <c r="Z87" s="6">
        <f t="shared" si="19"/>
        <v>3.3427527222033276E-3</v>
      </c>
    </row>
    <row r="88" spans="1:26" s="70" customFormat="1" ht="15" hidden="1" customHeight="1" outlineLevel="2" x14ac:dyDescent="0.3">
      <c r="A88" s="26"/>
      <c r="B88" s="12" t="str">
        <f>CONCATENATE("          ","6321"," - ","BUILDING DEPRECIATION")</f>
        <v xml:space="preserve">          6321 - BUILDING DEPRECIATION</v>
      </c>
      <c r="C88" s="12"/>
      <c r="D88" s="8">
        <v>18402.22</v>
      </c>
      <c r="E88" s="3"/>
      <c r="F88" s="7">
        <f t="shared" si="12"/>
        <v>2.1090600455121514E-2</v>
      </c>
      <c r="G88" s="3"/>
      <c r="H88" s="8"/>
      <c r="I88" s="3"/>
      <c r="J88" s="7">
        <f t="shared" si="13"/>
        <v>0</v>
      </c>
      <c r="K88" s="3"/>
      <c r="L88" s="8">
        <f t="shared" si="14"/>
        <v>18402.22</v>
      </c>
      <c r="M88" s="3"/>
      <c r="N88" s="7">
        <f t="shared" si="15"/>
        <v>0</v>
      </c>
      <c r="O88" s="12"/>
      <c r="P88" s="8">
        <v>166476.5</v>
      </c>
      <c r="Q88" s="3"/>
      <c r="R88" s="7">
        <f t="shared" si="16"/>
        <v>3.0998570296813601E-2</v>
      </c>
      <c r="S88" s="3"/>
      <c r="T88" s="8"/>
      <c r="U88" s="3"/>
      <c r="V88" s="7">
        <f t="shared" si="17"/>
        <v>0</v>
      </c>
      <c r="W88" s="3"/>
      <c r="X88" s="8">
        <f t="shared" si="18"/>
        <v>166476.5</v>
      </c>
      <c r="Y88" s="3"/>
      <c r="Z88" s="7">
        <f t="shared" si="19"/>
        <v>0</v>
      </c>
    </row>
    <row r="89" spans="1:26" s="70" customFormat="1" ht="15" hidden="1" customHeight="1" outlineLevel="2" x14ac:dyDescent="0.3">
      <c r="A89" s="26"/>
      <c r="B89" s="12" t="str">
        <f>CONCATENATE("          ","6322"," - ","EQUIPMENT DEPRECIATION EXPENSE")</f>
        <v xml:space="preserve">          6322 - EQUIPMENT DEPRECIATION EXPENSE</v>
      </c>
      <c r="C89" s="12"/>
      <c r="D89" s="8">
        <v>15462.57</v>
      </c>
      <c r="E89" s="3"/>
      <c r="F89" s="7">
        <f t="shared" si="12"/>
        <v>1.772149696500467E-2</v>
      </c>
      <c r="G89" s="3"/>
      <c r="H89" s="8">
        <v>33743</v>
      </c>
      <c r="I89" s="3"/>
      <c r="J89" s="7">
        <f t="shared" si="13"/>
        <v>5.2363113823005444E-2</v>
      </c>
      <c r="K89" s="3"/>
      <c r="L89" s="8">
        <f t="shared" si="14"/>
        <v>-18280.43</v>
      </c>
      <c r="M89" s="3"/>
      <c r="N89" s="7">
        <f t="shared" si="15"/>
        <v>-0.54175473431526544</v>
      </c>
      <c r="O89" s="12"/>
      <c r="P89" s="8">
        <v>126450.42</v>
      </c>
      <c r="Q89" s="3"/>
      <c r="R89" s="7">
        <f t="shared" si="16"/>
        <v>2.3545558883275444E-2</v>
      </c>
      <c r="S89" s="3"/>
      <c r="T89" s="8">
        <v>291951</v>
      </c>
      <c r="U89" s="3"/>
      <c r="V89" s="7">
        <f t="shared" si="17"/>
        <v>3.7519503456550328E-2</v>
      </c>
      <c r="W89" s="3"/>
      <c r="X89" s="8">
        <f t="shared" si="18"/>
        <v>-165500.58000000002</v>
      </c>
      <c r="Y89" s="3"/>
      <c r="Z89" s="7">
        <f t="shared" si="19"/>
        <v>-0.56687793499594119</v>
      </c>
    </row>
    <row r="90" spans="1:26" s="69" customFormat="1" ht="15" customHeight="1" outlineLevel="1" collapsed="1" x14ac:dyDescent="0.3">
      <c r="A90" s="25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0</v>
      </c>
      <c r="E90" s="2"/>
      <c r="F90" s="6">
        <f t="shared" ref="F90:F121" si="20">IF(D$12=0,0,D90/D$12)</f>
        <v>0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0</v>
      </c>
      <c r="M90" s="2"/>
      <c r="N90" s="6">
        <f t="shared" ref="N90:N121" si="23">IF(H90=0,0,L90/H90)</f>
        <v>0</v>
      </c>
      <c r="O90" s="14"/>
      <c r="P90" s="2">
        <f>SUM(OSRRefP22_6x_0)</f>
        <v>2064.5499999999997</v>
      </c>
      <c r="Q90" s="2"/>
      <c r="R90" s="6">
        <f t="shared" ref="R90:R121" si="24">IF(P$12=0,0,P90/P$12)</f>
        <v>3.8442722129721922E-4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2064.5499999999997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3">
      <c r="A91" s="26"/>
      <c r="B91" s="12" t="str">
        <f>CONCATENATE("          ","6382"," - ","DISCOUNTS/MARK DOWNS")</f>
        <v xml:space="preserve">          6382 - DISCOUNTS/MARK DOWNS</v>
      </c>
      <c r="C91" s="12"/>
      <c r="D91" s="8"/>
      <c r="E91" s="3"/>
      <c r="F91" s="7">
        <f t="shared" si="20"/>
        <v>0</v>
      </c>
      <c r="G91" s="3"/>
      <c r="H91" s="8"/>
      <c r="I91" s="3"/>
      <c r="J91" s="7">
        <f t="shared" si="21"/>
        <v>0</v>
      </c>
      <c r="K91" s="3"/>
      <c r="L91" s="8">
        <f t="shared" si="22"/>
        <v>0</v>
      </c>
      <c r="M91" s="3"/>
      <c r="N91" s="7">
        <f t="shared" si="23"/>
        <v>0</v>
      </c>
      <c r="O91" s="12"/>
      <c r="P91" s="8">
        <v>2171.35</v>
      </c>
      <c r="Q91" s="3"/>
      <c r="R91" s="7">
        <f t="shared" si="24"/>
        <v>4.0431379572483932E-4</v>
      </c>
      <c r="S91" s="3"/>
      <c r="T91" s="8">
        <v>0</v>
      </c>
      <c r="U91" s="3"/>
      <c r="V91" s="7">
        <f t="shared" si="25"/>
        <v>0</v>
      </c>
      <c r="W91" s="3"/>
      <c r="X91" s="8">
        <f t="shared" si="26"/>
        <v>2171.35</v>
      </c>
      <c r="Y91" s="3"/>
      <c r="Z91" s="7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","9175"," - ","EARNED DISCOUNTS")</f>
        <v xml:space="preserve">          9175 - EARNED DISCOUNTS</v>
      </c>
      <c r="C92" s="12"/>
      <c r="D92" s="8">
        <v>0</v>
      </c>
      <c r="E92" s="3"/>
      <c r="F92" s="7">
        <f t="shared" si="20"/>
        <v>0</v>
      </c>
      <c r="G92" s="3"/>
      <c r="H92" s="8"/>
      <c r="I92" s="3"/>
      <c r="J92" s="7">
        <f t="shared" si="21"/>
        <v>0</v>
      </c>
      <c r="K92" s="3"/>
      <c r="L92" s="8">
        <f t="shared" si="22"/>
        <v>0</v>
      </c>
      <c r="M92" s="3"/>
      <c r="N92" s="7">
        <f t="shared" si="23"/>
        <v>0</v>
      </c>
      <c r="O92" s="12"/>
      <c r="P92" s="8">
        <v>-106.8</v>
      </c>
      <c r="Q92" s="3"/>
      <c r="R92" s="7">
        <f t="shared" si="24"/>
        <v>-1.988657442762007E-5</v>
      </c>
      <c r="S92" s="3"/>
      <c r="T92" s="8"/>
      <c r="U92" s="3"/>
      <c r="V92" s="7">
        <f t="shared" si="25"/>
        <v>0</v>
      </c>
      <c r="W92" s="3"/>
      <c r="X92" s="8">
        <f t="shared" si="26"/>
        <v>-106.8</v>
      </c>
      <c r="Y92" s="3"/>
      <c r="Z92" s="7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2998.05</v>
      </c>
      <c r="E93" s="2"/>
      <c r="F93" s="6">
        <f t="shared" si="20"/>
        <v>3.436035146546289E-3</v>
      </c>
      <c r="G93" s="2"/>
      <c r="H93" s="2">
        <f>SUM(OSRRefH22_7x_0)</f>
        <v>1250</v>
      </c>
      <c r="I93" s="2"/>
      <c r="J93" s="6">
        <f t="shared" si="21"/>
        <v>1.9397769101371189E-3</v>
      </c>
      <c r="K93" s="2"/>
      <c r="L93" s="2">
        <f t="shared" si="22"/>
        <v>1748.0500000000002</v>
      </c>
      <c r="M93" s="2"/>
      <c r="N93" s="6">
        <f t="shared" si="23"/>
        <v>1.3984400000000001</v>
      </c>
      <c r="O93" s="14"/>
      <c r="P93" s="2">
        <f>SUM(OSRRefP22_7x_0)</f>
        <v>5818.27</v>
      </c>
      <c r="Q93" s="2"/>
      <c r="R93" s="6">
        <f t="shared" si="24"/>
        <v>1.0833844512639422E-3</v>
      </c>
      <c r="S93" s="2"/>
      <c r="T93" s="2">
        <f>SUM(OSRRefT22_7x_0)</f>
        <v>10000</v>
      </c>
      <c r="U93" s="2"/>
      <c r="V93" s="6">
        <f t="shared" si="25"/>
        <v>1.2851301573397703E-3</v>
      </c>
      <c r="W93" s="2"/>
      <c r="X93" s="2">
        <f t="shared" si="26"/>
        <v>-4181.7299999999996</v>
      </c>
      <c r="Y93" s="2"/>
      <c r="Z93" s="6">
        <f t="shared" si="27"/>
        <v>-0.41817299999999996</v>
      </c>
    </row>
    <row r="94" spans="1:26" s="70" customFormat="1" ht="15" hidden="1" customHeight="1" outlineLevel="2" x14ac:dyDescent="0.3">
      <c r="A94" s="26"/>
      <c r="B94" s="12" t="str">
        <f>CONCATENATE("          ","6399"," - ","DONATION-ON CAMPUS")</f>
        <v xml:space="preserve">          6399 - DONATION-ON CAMPUS</v>
      </c>
      <c r="C94" s="12"/>
      <c r="D94" s="8">
        <v>2998.05</v>
      </c>
      <c r="E94" s="3"/>
      <c r="F94" s="7">
        <f t="shared" si="20"/>
        <v>3.436035146546289E-3</v>
      </c>
      <c r="G94" s="3"/>
      <c r="H94" s="8">
        <v>1250</v>
      </c>
      <c r="I94" s="3"/>
      <c r="J94" s="7">
        <f t="shared" si="21"/>
        <v>1.9397769101371189E-3</v>
      </c>
      <c r="K94" s="3"/>
      <c r="L94" s="8">
        <f t="shared" si="22"/>
        <v>1748.0500000000002</v>
      </c>
      <c r="M94" s="3"/>
      <c r="N94" s="7">
        <f t="shared" si="23"/>
        <v>1.3984400000000001</v>
      </c>
      <c r="O94" s="12"/>
      <c r="P94" s="8">
        <v>5818.27</v>
      </c>
      <c r="Q94" s="3"/>
      <c r="R94" s="7">
        <f t="shared" si="24"/>
        <v>1.0833844512639422E-3</v>
      </c>
      <c r="S94" s="3"/>
      <c r="T94" s="8">
        <v>10000</v>
      </c>
      <c r="U94" s="3"/>
      <c r="V94" s="7">
        <f t="shared" si="25"/>
        <v>1.2851301573397703E-3</v>
      </c>
      <c r="W94" s="3"/>
      <c r="X94" s="8">
        <f t="shared" si="26"/>
        <v>-4181.7299999999996</v>
      </c>
      <c r="Y94" s="3"/>
      <c r="Z94" s="7">
        <f t="shared" si="27"/>
        <v>-0.41817299999999996</v>
      </c>
    </row>
    <row r="95" spans="1:26" s="69" customFormat="1" ht="15" customHeight="1" outlineLevel="1" collapsed="1" x14ac:dyDescent="0.3">
      <c r="A95" s="25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0</v>
      </c>
      <c r="E95" s="2"/>
      <c r="F95" s="6">
        <f t="shared" si="20"/>
        <v>0</v>
      </c>
      <c r="G95" s="2"/>
      <c r="H95" s="2">
        <f>SUM(OSRRefH22_8x_0)</f>
        <v>225</v>
      </c>
      <c r="I95" s="2"/>
      <c r="J95" s="6">
        <f t="shared" si="21"/>
        <v>3.4915984382468139E-4</v>
      </c>
      <c r="K95" s="2"/>
      <c r="L95" s="2">
        <f t="shared" si="22"/>
        <v>-225</v>
      </c>
      <c r="M95" s="2"/>
      <c r="N95" s="6">
        <f t="shared" si="23"/>
        <v>-1</v>
      </c>
      <c r="O95" s="14"/>
      <c r="P95" s="2">
        <f>SUM(OSRRefP22_8x_0)</f>
        <v>4245.1899999999996</v>
      </c>
      <c r="Q95" s="2"/>
      <c r="R95" s="6">
        <f t="shared" si="24"/>
        <v>7.9047085107105276E-4</v>
      </c>
      <c r="S95" s="2"/>
      <c r="T95" s="2">
        <f>SUM(OSRRefT22_8x_0)</f>
        <v>1850</v>
      </c>
      <c r="U95" s="2"/>
      <c r="V95" s="6">
        <f t="shared" si="25"/>
        <v>2.3774907910785752E-4</v>
      </c>
      <c r="W95" s="2"/>
      <c r="X95" s="2">
        <f t="shared" si="26"/>
        <v>2395.1899999999996</v>
      </c>
      <c r="Y95" s="2"/>
      <c r="Z95" s="6">
        <f t="shared" si="27"/>
        <v>1.294697297297297</v>
      </c>
    </row>
    <row r="96" spans="1:26" s="70" customFormat="1" ht="15" hidden="1" customHeight="1" outlineLevel="2" x14ac:dyDescent="0.3">
      <c r="A96" s="26"/>
      <c r="B96" s="12" t="str">
        <f>CONCATENATE("          ","6277"," - ","EMPLOYEE APPRECIATION")</f>
        <v xml:space="preserve">          6277 - EMPLOYEE APPRECIATION</v>
      </c>
      <c r="C96" s="12"/>
      <c r="D96" s="8"/>
      <c r="E96" s="3"/>
      <c r="F96" s="7">
        <f t="shared" si="20"/>
        <v>0</v>
      </c>
      <c r="G96" s="3"/>
      <c r="H96" s="8">
        <v>225</v>
      </c>
      <c r="I96" s="3"/>
      <c r="J96" s="7">
        <f t="shared" si="21"/>
        <v>3.4915984382468139E-4</v>
      </c>
      <c r="K96" s="3"/>
      <c r="L96" s="8">
        <f t="shared" si="22"/>
        <v>-225</v>
      </c>
      <c r="M96" s="3"/>
      <c r="N96" s="7">
        <f t="shared" si="23"/>
        <v>-1</v>
      </c>
      <c r="O96" s="12"/>
      <c r="P96" s="8">
        <v>4245.1899999999996</v>
      </c>
      <c r="Q96" s="3"/>
      <c r="R96" s="7">
        <f t="shared" si="24"/>
        <v>7.9047085107105276E-4</v>
      </c>
      <c r="S96" s="3"/>
      <c r="T96" s="8">
        <v>1850</v>
      </c>
      <c r="U96" s="3"/>
      <c r="V96" s="7">
        <f t="shared" si="25"/>
        <v>2.3774907910785752E-4</v>
      </c>
      <c r="W96" s="3"/>
      <c r="X96" s="8">
        <f t="shared" si="26"/>
        <v>2395.1899999999996</v>
      </c>
      <c r="Y96" s="3"/>
      <c r="Z96" s="7">
        <f t="shared" si="27"/>
        <v>1.294697297297297</v>
      </c>
    </row>
    <row r="97" spans="1:26" s="69" customFormat="1" ht="15" customHeight="1" outlineLevel="1" collapsed="1" x14ac:dyDescent="0.3">
      <c r="A97" s="25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1388.16</v>
      </c>
      <c r="E97" s="2"/>
      <c r="F97" s="6">
        <f t="shared" si="20"/>
        <v>1.590956304607894E-3</v>
      </c>
      <c r="G97" s="2"/>
      <c r="H97" s="2">
        <f>SUM(OSRRefH22_9x_0)</f>
        <v>1876</v>
      </c>
      <c r="I97" s="2"/>
      <c r="J97" s="6">
        <f t="shared" si="21"/>
        <v>2.911217186733788E-3</v>
      </c>
      <c r="K97" s="2"/>
      <c r="L97" s="2">
        <f t="shared" si="22"/>
        <v>-487.83999999999992</v>
      </c>
      <c r="M97" s="2"/>
      <c r="N97" s="6">
        <f t="shared" si="23"/>
        <v>-0.26004264392324089</v>
      </c>
      <c r="O97" s="14"/>
      <c r="P97" s="2">
        <f>SUM(OSRRefP22_9x_0)</f>
        <v>12728.1</v>
      </c>
      <c r="Q97" s="2"/>
      <c r="R97" s="6">
        <f t="shared" si="24"/>
        <v>2.3700216102265077E-3</v>
      </c>
      <c r="S97" s="2"/>
      <c r="T97" s="2">
        <f>SUM(OSRRefT22_9x_0)</f>
        <v>14808</v>
      </c>
      <c r="U97" s="2"/>
      <c r="V97" s="6">
        <f t="shared" si="25"/>
        <v>1.9030207369887318E-3</v>
      </c>
      <c r="W97" s="2"/>
      <c r="X97" s="2">
        <f t="shared" si="26"/>
        <v>-2079.8999999999996</v>
      </c>
      <c r="Y97" s="2"/>
      <c r="Z97" s="6">
        <f t="shared" si="27"/>
        <v>-0.14045786061588328</v>
      </c>
    </row>
    <row r="98" spans="1:26" s="70" customFormat="1" ht="15" hidden="1" customHeight="1" outlineLevel="2" x14ac:dyDescent="0.3">
      <c r="A98" s="26"/>
      <c r="B98" s="12" t="str">
        <f>CONCATENATE("          ","6351"," - ","EQUIPMENT RENTAL")</f>
        <v xml:space="preserve">          6351 - EQUIPMENT RENTAL</v>
      </c>
      <c r="C98" s="12"/>
      <c r="D98" s="8">
        <v>1388.16</v>
      </c>
      <c r="E98" s="3"/>
      <c r="F98" s="7">
        <f t="shared" si="20"/>
        <v>1.590956304607894E-3</v>
      </c>
      <c r="G98" s="3"/>
      <c r="H98" s="8">
        <v>1876</v>
      </c>
      <c r="I98" s="3"/>
      <c r="J98" s="7">
        <f t="shared" si="21"/>
        <v>2.911217186733788E-3</v>
      </c>
      <c r="K98" s="3"/>
      <c r="L98" s="8">
        <f t="shared" si="22"/>
        <v>-487.83999999999992</v>
      </c>
      <c r="M98" s="3"/>
      <c r="N98" s="7">
        <f t="shared" si="23"/>
        <v>-0.26004264392324089</v>
      </c>
      <c r="O98" s="12"/>
      <c r="P98" s="8">
        <v>12728.1</v>
      </c>
      <c r="Q98" s="3"/>
      <c r="R98" s="7">
        <f t="shared" si="24"/>
        <v>2.3700216102265077E-3</v>
      </c>
      <c r="S98" s="3"/>
      <c r="T98" s="8">
        <v>14808</v>
      </c>
      <c r="U98" s="3"/>
      <c r="V98" s="7">
        <f t="shared" si="25"/>
        <v>1.9030207369887318E-3</v>
      </c>
      <c r="W98" s="3"/>
      <c r="X98" s="8">
        <f t="shared" si="26"/>
        <v>-2079.8999999999996</v>
      </c>
      <c r="Y98" s="3"/>
      <c r="Z98" s="7">
        <f t="shared" si="27"/>
        <v>-0.14045786061588328</v>
      </c>
    </row>
    <row r="99" spans="1:26" s="69" customFormat="1" ht="15" customHeight="1" outlineLevel="1" collapsed="1" x14ac:dyDescent="0.3">
      <c r="A99" s="25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-7059.8099999999995</v>
      </c>
      <c r="E99" s="2"/>
      <c r="F99" s="6">
        <f t="shared" si="20"/>
        <v>-8.0911776948146136E-3</v>
      </c>
      <c r="G99" s="2"/>
      <c r="H99" s="2">
        <f>SUM(OSRRefH22_10x_0)</f>
        <v>1950</v>
      </c>
      <c r="I99" s="2"/>
      <c r="J99" s="6">
        <f t="shared" si="21"/>
        <v>3.0260519798139054E-3</v>
      </c>
      <c r="K99" s="2"/>
      <c r="L99" s="2">
        <f t="shared" si="22"/>
        <v>-9009.81</v>
      </c>
      <c r="M99" s="2"/>
      <c r="N99" s="6">
        <f t="shared" si="23"/>
        <v>-4.6204153846153844</v>
      </c>
      <c r="O99" s="14"/>
      <c r="P99" s="2">
        <f>SUM(OSRRefP22_10x_0)</f>
        <v>-46507.91</v>
      </c>
      <c r="Q99" s="2"/>
      <c r="R99" s="6">
        <f t="shared" si="24"/>
        <v>-8.6599533116859164E-3</v>
      </c>
      <c r="S99" s="2"/>
      <c r="T99" s="2">
        <f>SUM(OSRRefT22_10x_0)</f>
        <v>-15000</v>
      </c>
      <c r="U99" s="2"/>
      <c r="V99" s="6">
        <f t="shared" si="25"/>
        <v>-1.9276952360096555E-3</v>
      </c>
      <c r="W99" s="2"/>
      <c r="X99" s="2">
        <f t="shared" si="26"/>
        <v>-31507.910000000003</v>
      </c>
      <c r="Y99" s="2"/>
      <c r="Z99" s="6">
        <f t="shared" si="27"/>
        <v>2.1005273333333334</v>
      </c>
    </row>
    <row r="100" spans="1:26" s="70" customFormat="1" ht="15" hidden="1" customHeight="1" outlineLevel="2" x14ac:dyDescent="0.3">
      <c r="A100" s="26"/>
      <c r="B100" s="12" t="str">
        <f>CONCATENATE("          ","6305"," - ","FREIGHT OUT")</f>
        <v xml:space="preserve">          6305 - FREIGHT OUT</v>
      </c>
      <c r="C100" s="12"/>
      <c r="D100" s="8">
        <v>7594.99</v>
      </c>
      <c r="E100" s="3"/>
      <c r="F100" s="7">
        <f t="shared" si="20"/>
        <v>8.7045421449500841E-3</v>
      </c>
      <c r="G100" s="3"/>
      <c r="H100" s="8">
        <v>23850</v>
      </c>
      <c r="I100" s="3"/>
      <c r="J100" s="7">
        <f t="shared" si="21"/>
        <v>3.7010943445416229E-2</v>
      </c>
      <c r="K100" s="3"/>
      <c r="L100" s="8">
        <f t="shared" si="22"/>
        <v>-16255.01</v>
      </c>
      <c r="M100" s="3"/>
      <c r="N100" s="7">
        <f t="shared" si="23"/>
        <v>-0.68155178197064992</v>
      </c>
      <c r="O100" s="12"/>
      <c r="P100" s="8">
        <v>101731.44</v>
      </c>
      <c r="Q100" s="3"/>
      <c r="R100" s="7">
        <f t="shared" si="24"/>
        <v>1.8942788887537129E-2</v>
      </c>
      <c r="S100" s="3"/>
      <c r="T100" s="8">
        <v>139200</v>
      </c>
      <c r="U100" s="3"/>
      <c r="V100" s="7">
        <f t="shared" si="25"/>
        <v>1.7889011790169603E-2</v>
      </c>
      <c r="W100" s="3"/>
      <c r="X100" s="8">
        <f t="shared" si="26"/>
        <v>-37468.559999999998</v>
      </c>
      <c r="Y100" s="3"/>
      <c r="Z100" s="7">
        <f t="shared" si="27"/>
        <v>-0.26917068965517238</v>
      </c>
    </row>
    <row r="101" spans="1:26" s="70" customFormat="1" ht="15" hidden="1" customHeight="1" outlineLevel="2" x14ac:dyDescent="0.3">
      <c r="A101" s="26"/>
      <c r="B101" s="12" t="str">
        <f>CONCATENATE("          ","6307"," - ","POSTAGE")</f>
        <v xml:space="preserve">          6307 - POSTAGE</v>
      </c>
      <c r="C101" s="12"/>
      <c r="D101" s="8">
        <v>-14654.8</v>
      </c>
      <c r="E101" s="3"/>
      <c r="F101" s="7">
        <f t="shared" si="20"/>
        <v>-1.6795719839764699E-2</v>
      </c>
      <c r="G101" s="3"/>
      <c r="H101" s="8">
        <v>-21900</v>
      </c>
      <c r="I101" s="3"/>
      <c r="J101" s="7">
        <f t="shared" si="21"/>
        <v>-3.3984891465602324E-2</v>
      </c>
      <c r="K101" s="3"/>
      <c r="L101" s="8">
        <f t="shared" si="22"/>
        <v>7245.2000000000007</v>
      </c>
      <c r="M101" s="3"/>
      <c r="N101" s="7">
        <f t="shared" si="23"/>
        <v>-0.33083105022831055</v>
      </c>
      <c r="O101" s="12"/>
      <c r="P101" s="8">
        <v>-148239.35</v>
      </c>
      <c r="Q101" s="3"/>
      <c r="R101" s="7">
        <f t="shared" si="24"/>
        <v>-2.7602742199223047E-2</v>
      </c>
      <c r="S101" s="3"/>
      <c r="T101" s="8">
        <v>-154200</v>
      </c>
      <c r="U101" s="3"/>
      <c r="V101" s="7">
        <f t="shared" si="25"/>
        <v>-1.981670702617926E-2</v>
      </c>
      <c r="W101" s="3"/>
      <c r="X101" s="8">
        <f t="shared" si="26"/>
        <v>5960.6499999999942</v>
      </c>
      <c r="Y101" s="3"/>
      <c r="Z101" s="7">
        <f t="shared" si="27"/>
        <v>-3.8655317769130962E-2</v>
      </c>
    </row>
    <row r="102" spans="1:26" s="69" customFormat="1" ht="15" customHeight="1" outlineLevel="1" collapsed="1" x14ac:dyDescent="0.3">
      <c r="A102" s="25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1835.81</v>
      </c>
      <c r="E102" s="2"/>
      <c r="F102" s="6">
        <f t="shared" si="20"/>
        <v>2.1040034963997075E-3</v>
      </c>
      <c r="G102" s="2"/>
      <c r="H102" s="2">
        <f>SUM(OSRRefH22_11x_0)</f>
        <v>325</v>
      </c>
      <c r="I102" s="2"/>
      <c r="J102" s="6">
        <f t="shared" si="21"/>
        <v>5.0434199663565091E-4</v>
      </c>
      <c r="K102" s="2"/>
      <c r="L102" s="2">
        <f t="shared" si="22"/>
        <v>1510.81</v>
      </c>
      <c r="M102" s="2"/>
      <c r="N102" s="6">
        <f t="shared" si="23"/>
        <v>4.6486461538461539</v>
      </c>
      <c r="O102" s="14"/>
      <c r="P102" s="2">
        <f>SUM(OSRRefP22_11x_0)</f>
        <v>9517.26</v>
      </c>
      <c r="Q102" s="2"/>
      <c r="R102" s="6">
        <f t="shared" si="24"/>
        <v>1.7721507428559119E-3</v>
      </c>
      <c r="S102" s="2"/>
      <c r="T102" s="2">
        <f>SUM(OSRRefT22_11x_0)</f>
        <v>5560</v>
      </c>
      <c r="U102" s="2"/>
      <c r="V102" s="6">
        <f t="shared" si="25"/>
        <v>7.1453236748091227E-4</v>
      </c>
      <c r="W102" s="2"/>
      <c r="X102" s="2">
        <f t="shared" si="26"/>
        <v>3957.26</v>
      </c>
      <c r="Y102" s="2"/>
      <c r="Z102" s="6">
        <f t="shared" si="27"/>
        <v>0.71173741007194247</v>
      </c>
    </row>
    <row r="103" spans="1:26" s="70" customFormat="1" ht="15" hidden="1" customHeight="1" outlineLevel="2" x14ac:dyDescent="0.3">
      <c r="A103" s="26"/>
      <c r="B103" s="12" t="str">
        <f>CONCATENATE("          ","6276"," - ","PROPERTY TAX")</f>
        <v xml:space="preserve">          6276 - PROPERTY TAX</v>
      </c>
      <c r="C103" s="12"/>
      <c r="D103" s="8"/>
      <c r="E103" s="3"/>
      <c r="F103" s="7">
        <f t="shared" si="20"/>
        <v>0</v>
      </c>
      <c r="G103" s="3"/>
      <c r="H103" s="8"/>
      <c r="I103" s="3"/>
      <c r="J103" s="7">
        <f t="shared" si="21"/>
        <v>0</v>
      </c>
      <c r="K103" s="3"/>
      <c r="L103" s="8">
        <f t="shared" si="22"/>
        <v>0</v>
      </c>
      <c r="M103" s="3"/>
      <c r="N103" s="7">
        <f t="shared" si="23"/>
        <v>0</v>
      </c>
      <c r="O103" s="12"/>
      <c r="P103" s="8"/>
      <c r="Q103" s="3"/>
      <c r="R103" s="7">
        <f t="shared" si="24"/>
        <v>0</v>
      </c>
      <c r="S103" s="3"/>
      <c r="T103" s="8">
        <v>1250</v>
      </c>
      <c r="U103" s="3"/>
      <c r="V103" s="7">
        <f t="shared" si="25"/>
        <v>1.6064126966747129E-4</v>
      </c>
      <c r="W103" s="3"/>
      <c r="X103" s="8">
        <f t="shared" si="26"/>
        <v>-1250</v>
      </c>
      <c r="Y103" s="3"/>
      <c r="Z103" s="7">
        <f t="shared" si="27"/>
        <v>-1</v>
      </c>
    </row>
    <row r="104" spans="1:26" s="70" customFormat="1" ht="15" hidden="1" customHeight="1" outlineLevel="2" x14ac:dyDescent="0.3">
      <c r="A104" s="26"/>
      <c r="B104" s="12" t="str">
        <f>CONCATENATE("          ","6279"," - ","GENERAL EXPENSE")</f>
        <v xml:space="preserve">          6279 - GENERAL EXPENSE</v>
      </c>
      <c r="C104" s="12"/>
      <c r="D104" s="8">
        <v>1835.81</v>
      </c>
      <c r="E104" s="3"/>
      <c r="F104" s="7">
        <f t="shared" si="20"/>
        <v>2.1040034963997075E-3</v>
      </c>
      <c r="G104" s="3"/>
      <c r="H104" s="8">
        <v>325</v>
      </c>
      <c r="I104" s="3"/>
      <c r="J104" s="7">
        <f t="shared" si="21"/>
        <v>5.0434199663565091E-4</v>
      </c>
      <c r="K104" s="3"/>
      <c r="L104" s="8">
        <f t="shared" si="22"/>
        <v>1510.81</v>
      </c>
      <c r="M104" s="3"/>
      <c r="N104" s="7">
        <f t="shared" si="23"/>
        <v>4.6486461538461539</v>
      </c>
      <c r="O104" s="12"/>
      <c r="P104" s="8">
        <v>9517.26</v>
      </c>
      <c r="Q104" s="3"/>
      <c r="R104" s="7">
        <f t="shared" si="24"/>
        <v>1.7721507428559119E-3</v>
      </c>
      <c r="S104" s="3"/>
      <c r="T104" s="8">
        <v>4310</v>
      </c>
      <c r="U104" s="3"/>
      <c r="V104" s="7">
        <f t="shared" si="25"/>
        <v>5.5389109781344098E-4</v>
      </c>
      <c r="W104" s="3"/>
      <c r="X104" s="8">
        <f t="shared" si="26"/>
        <v>5207.26</v>
      </c>
      <c r="Y104" s="3"/>
      <c r="Z104" s="7">
        <f t="shared" si="27"/>
        <v>1.2081809744779584</v>
      </c>
    </row>
    <row r="105" spans="1:26" s="69" customFormat="1" ht="15" customHeight="1" outlineLevel="1" collapsed="1" x14ac:dyDescent="0.3">
      <c r="A105" s="25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5825.58</v>
      </c>
      <c r="E105" s="2"/>
      <c r="F105" s="6">
        <f t="shared" si="20"/>
        <v>6.6766390250386515E-3</v>
      </c>
      <c r="G105" s="2"/>
      <c r="H105" s="2">
        <f>SUM(OSRRefH22_12x_0)</f>
        <v>5705</v>
      </c>
      <c r="I105" s="2"/>
      <c r="J105" s="6">
        <f t="shared" si="21"/>
        <v>8.8531418178658117E-3</v>
      </c>
      <c r="K105" s="2"/>
      <c r="L105" s="2">
        <f t="shared" si="22"/>
        <v>120.57999999999993</v>
      </c>
      <c r="M105" s="2"/>
      <c r="N105" s="6">
        <f t="shared" si="23"/>
        <v>2.1135845749342668E-2</v>
      </c>
      <c r="O105" s="14"/>
      <c r="P105" s="2">
        <f>SUM(OSRRefP22_12x_0)</f>
        <v>46604.639999999999</v>
      </c>
      <c r="Q105" s="2"/>
      <c r="R105" s="6">
        <f t="shared" si="24"/>
        <v>8.6779648130378226E-3</v>
      </c>
      <c r="S105" s="2"/>
      <c r="T105" s="2">
        <f>SUM(OSRRefT22_12x_0)</f>
        <v>45640</v>
      </c>
      <c r="U105" s="2"/>
      <c r="V105" s="6">
        <f t="shared" si="25"/>
        <v>5.8653340380987115E-3</v>
      </c>
      <c r="W105" s="2"/>
      <c r="X105" s="2">
        <f t="shared" si="26"/>
        <v>964.63999999999942</v>
      </c>
      <c r="Y105" s="2"/>
      <c r="Z105" s="6">
        <f t="shared" si="27"/>
        <v>2.1135845749342668E-2</v>
      </c>
    </row>
    <row r="106" spans="1:26" s="70" customFormat="1" ht="15" hidden="1" customHeight="1" outlineLevel="2" x14ac:dyDescent="0.3">
      <c r="A106" s="26"/>
      <c r="B106" s="12" t="str">
        <f>CONCATENATE("          ","6314"," - ","LIABILITY INSURANCE")</f>
        <v xml:space="preserve">          6314 - LIABILITY INSURANCE</v>
      </c>
      <c r="C106" s="12"/>
      <c r="D106" s="8">
        <v>5825.58</v>
      </c>
      <c r="E106" s="3"/>
      <c r="F106" s="7">
        <f t="shared" si="20"/>
        <v>6.6766390250386515E-3</v>
      </c>
      <c r="G106" s="3"/>
      <c r="H106" s="8">
        <v>5705</v>
      </c>
      <c r="I106" s="3"/>
      <c r="J106" s="7">
        <f t="shared" si="21"/>
        <v>8.8531418178658117E-3</v>
      </c>
      <c r="K106" s="3"/>
      <c r="L106" s="8">
        <f t="shared" si="22"/>
        <v>120.57999999999993</v>
      </c>
      <c r="M106" s="3"/>
      <c r="N106" s="7">
        <f t="shared" si="23"/>
        <v>2.1135845749342668E-2</v>
      </c>
      <c r="O106" s="12"/>
      <c r="P106" s="8">
        <v>46604.639999999999</v>
      </c>
      <c r="Q106" s="3"/>
      <c r="R106" s="7">
        <f t="shared" si="24"/>
        <v>8.6779648130378226E-3</v>
      </c>
      <c r="S106" s="3"/>
      <c r="T106" s="8">
        <v>45640</v>
      </c>
      <c r="U106" s="3"/>
      <c r="V106" s="7">
        <f t="shared" si="25"/>
        <v>5.8653340380987115E-3</v>
      </c>
      <c r="W106" s="3"/>
      <c r="X106" s="8">
        <f t="shared" si="26"/>
        <v>964.63999999999942</v>
      </c>
      <c r="Y106" s="3"/>
      <c r="Z106" s="7">
        <f t="shared" si="27"/>
        <v>2.1135845749342668E-2</v>
      </c>
    </row>
    <row r="107" spans="1:26" s="69" customFormat="1" ht="15" customHeight="1" outlineLevel="1" collapsed="1" x14ac:dyDescent="0.3">
      <c r="A107" s="25"/>
      <c r="B107" s="14" t="str">
        <f>CONCATENATE("     ","Interest                                          ")</f>
        <v xml:space="preserve">     Interest                                          </v>
      </c>
      <c r="C107" s="14"/>
      <c r="D107" s="2">
        <f>SUM(OSRRefD22_13x_0)</f>
        <v>3905</v>
      </c>
      <c r="E107" s="2"/>
      <c r="F107" s="6">
        <f t="shared" si="20"/>
        <v>4.4754814787155844E-3</v>
      </c>
      <c r="G107" s="2"/>
      <c r="H107" s="2">
        <f>SUM(OSRRefH22_13x_0)</f>
        <v>3905</v>
      </c>
      <c r="I107" s="2"/>
      <c r="J107" s="6">
        <f t="shared" si="21"/>
        <v>6.0598630672683597E-3</v>
      </c>
      <c r="K107" s="2"/>
      <c r="L107" s="2">
        <f t="shared" si="22"/>
        <v>0</v>
      </c>
      <c r="M107" s="2"/>
      <c r="N107" s="6">
        <f t="shared" si="23"/>
        <v>0</v>
      </c>
      <c r="O107" s="14"/>
      <c r="P107" s="2">
        <f>SUM(OSRRefP22_13x_0)</f>
        <v>30964</v>
      </c>
      <c r="Q107" s="2"/>
      <c r="R107" s="6">
        <f t="shared" si="24"/>
        <v>5.7656169529665532E-3</v>
      </c>
      <c r="S107" s="2"/>
      <c r="T107" s="2">
        <f>SUM(OSRRefT22_13x_0)</f>
        <v>31240</v>
      </c>
      <c r="U107" s="2"/>
      <c r="V107" s="6">
        <f t="shared" si="25"/>
        <v>4.0147466115294421E-3</v>
      </c>
      <c r="W107" s="2"/>
      <c r="X107" s="2">
        <f t="shared" si="26"/>
        <v>-276</v>
      </c>
      <c r="Y107" s="2"/>
      <c r="Z107" s="6">
        <f t="shared" si="27"/>
        <v>-8.8348271446862994E-3</v>
      </c>
    </row>
    <row r="108" spans="1:26" s="70" customFormat="1" ht="15" hidden="1" customHeight="1" outlineLevel="2" x14ac:dyDescent="0.3">
      <c r="A108" s="26"/>
      <c r="B108" s="12" t="str">
        <f>CONCATENATE("          ","6401"," - ","INTEREST EXPENSE")</f>
        <v xml:space="preserve">          6401 - INTEREST EXPENSE</v>
      </c>
      <c r="C108" s="12"/>
      <c r="D108" s="8">
        <v>3905</v>
      </c>
      <c r="E108" s="3"/>
      <c r="F108" s="7">
        <f t="shared" si="20"/>
        <v>4.4754814787155844E-3</v>
      </c>
      <c r="G108" s="3"/>
      <c r="H108" s="8">
        <v>3905</v>
      </c>
      <c r="I108" s="3"/>
      <c r="J108" s="7">
        <f t="shared" si="21"/>
        <v>6.0598630672683597E-3</v>
      </c>
      <c r="K108" s="3"/>
      <c r="L108" s="8">
        <f t="shared" si="22"/>
        <v>0</v>
      </c>
      <c r="M108" s="3"/>
      <c r="N108" s="7">
        <f t="shared" si="23"/>
        <v>0</v>
      </c>
      <c r="O108" s="12"/>
      <c r="P108" s="8">
        <v>30964</v>
      </c>
      <c r="Q108" s="3"/>
      <c r="R108" s="7">
        <f t="shared" si="24"/>
        <v>5.7656169529665532E-3</v>
      </c>
      <c r="S108" s="3"/>
      <c r="T108" s="8">
        <v>31240</v>
      </c>
      <c r="U108" s="3"/>
      <c r="V108" s="7">
        <f t="shared" si="25"/>
        <v>4.0147466115294421E-3</v>
      </c>
      <c r="W108" s="3"/>
      <c r="X108" s="8">
        <f t="shared" si="26"/>
        <v>-276</v>
      </c>
      <c r="Y108" s="3"/>
      <c r="Z108" s="7">
        <f t="shared" si="27"/>
        <v>-8.8348271446862994E-3</v>
      </c>
    </row>
    <row r="109" spans="1:26" s="69" customFormat="1" ht="15" customHeight="1" outlineLevel="1" collapsed="1" x14ac:dyDescent="0.3">
      <c r="A109" s="25"/>
      <c r="B109" s="14" t="str">
        <f>CONCATENATE("     ","Inventory Adjustment                              ")</f>
        <v xml:space="preserve">     Inventory Adjustment                              </v>
      </c>
      <c r="C109" s="14"/>
      <c r="D109" s="2">
        <f>SUM(OSRRefD22_14x_0)</f>
        <v>5100</v>
      </c>
      <c r="E109" s="2"/>
      <c r="F109" s="6">
        <f t="shared" si="20"/>
        <v>5.845059037503068E-3</v>
      </c>
      <c r="G109" s="2"/>
      <c r="H109" s="2">
        <f>SUM(OSRRefH22_14x_0)</f>
        <v>5100</v>
      </c>
      <c r="I109" s="2"/>
      <c r="J109" s="6">
        <f t="shared" si="21"/>
        <v>7.9142897933594455E-3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SUM(OSRRefP22_14x_0)</f>
        <v>44800</v>
      </c>
      <c r="Q109" s="2"/>
      <c r="R109" s="6">
        <f t="shared" si="24"/>
        <v>8.3419338422975574E-3</v>
      </c>
      <c r="S109" s="2"/>
      <c r="T109" s="2">
        <f>SUM(OSRRefT22_14x_0)</f>
        <v>44800</v>
      </c>
      <c r="U109" s="2"/>
      <c r="V109" s="6">
        <f t="shared" si="25"/>
        <v>5.7573831048821711E-3</v>
      </c>
      <c r="W109" s="2"/>
      <c r="X109" s="2">
        <f t="shared" si="26"/>
        <v>0</v>
      </c>
      <c r="Y109" s="2"/>
      <c r="Z109" s="6">
        <f t="shared" si="27"/>
        <v>0</v>
      </c>
    </row>
    <row r="110" spans="1:26" s="70" customFormat="1" ht="15" hidden="1" customHeight="1" outlineLevel="2" x14ac:dyDescent="0.3">
      <c r="A110" s="26"/>
      <c r="B110" s="12" t="str">
        <f>CONCATENATE("          ","6408"," - ","INVENTORY ADJUSTMENT")</f>
        <v xml:space="preserve">          6408 - INVENTORY ADJUSTMENT</v>
      </c>
      <c r="C110" s="12"/>
      <c r="D110" s="8">
        <v>5100</v>
      </c>
      <c r="E110" s="3"/>
      <c r="F110" s="7">
        <f t="shared" si="20"/>
        <v>5.845059037503068E-3</v>
      </c>
      <c r="G110" s="3"/>
      <c r="H110" s="8">
        <v>5100</v>
      </c>
      <c r="I110" s="3"/>
      <c r="J110" s="7">
        <f t="shared" si="21"/>
        <v>7.9142897933594455E-3</v>
      </c>
      <c r="K110" s="3"/>
      <c r="L110" s="8">
        <f t="shared" si="22"/>
        <v>0</v>
      </c>
      <c r="M110" s="3"/>
      <c r="N110" s="7">
        <f t="shared" si="23"/>
        <v>0</v>
      </c>
      <c r="O110" s="12"/>
      <c r="P110" s="8">
        <v>44800</v>
      </c>
      <c r="Q110" s="3"/>
      <c r="R110" s="7">
        <f t="shared" si="24"/>
        <v>8.3419338422975574E-3</v>
      </c>
      <c r="S110" s="3"/>
      <c r="T110" s="8">
        <v>44800</v>
      </c>
      <c r="U110" s="3"/>
      <c r="V110" s="7">
        <f t="shared" si="25"/>
        <v>5.7573831048821711E-3</v>
      </c>
      <c r="W110" s="3"/>
      <c r="X110" s="8">
        <f t="shared" si="26"/>
        <v>0</v>
      </c>
      <c r="Y110" s="3"/>
      <c r="Z110" s="7">
        <f t="shared" si="27"/>
        <v>0</v>
      </c>
    </row>
    <row r="111" spans="1:26" s="69" customFormat="1" ht="15" customHeight="1" outlineLevel="1" collapsed="1" x14ac:dyDescent="0.3">
      <c r="A111" s="25"/>
      <c r="B111" s="14" t="str">
        <f>CONCATENATE("     ","Professional Services                             ")</f>
        <v xml:space="preserve">     Professional Services                             </v>
      </c>
      <c r="C111" s="14"/>
      <c r="D111" s="2">
        <f>SUM(OSRRefD22_15x_0)</f>
        <v>390</v>
      </c>
      <c r="E111" s="2"/>
      <c r="F111" s="6">
        <f t="shared" si="20"/>
        <v>4.469751028678817E-4</v>
      </c>
      <c r="G111" s="2"/>
      <c r="H111" s="2">
        <f>SUM(OSRRefH22_15x_0)</f>
        <v>0</v>
      </c>
      <c r="I111" s="2"/>
      <c r="J111" s="6">
        <f t="shared" si="21"/>
        <v>0</v>
      </c>
      <c r="K111" s="2"/>
      <c r="L111" s="2">
        <f t="shared" si="22"/>
        <v>390</v>
      </c>
      <c r="M111" s="2"/>
      <c r="N111" s="6">
        <f t="shared" si="23"/>
        <v>0</v>
      </c>
      <c r="O111" s="14"/>
      <c r="P111" s="2">
        <f>SUM(OSRRefP22_15x_0)</f>
        <v>8576.5300000000007</v>
      </c>
      <c r="Q111" s="2"/>
      <c r="R111" s="6">
        <f t="shared" si="24"/>
        <v>1.596983166439292E-3</v>
      </c>
      <c r="S111" s="2"/>
      <c r="T111" s="2">
        <f>SUM(OSRRefT22_15x_0)</f>
        <v>1500</v>
      </c>
      <c r="U111" s="2"/>
      <c r="V111" s="6">
        <f t="shared" si="25"/>
        <v>1.9276952360096553E-4</v>
      </c>
      <c r="W111" s="2"/>
      <c r="X111" s="2">
        <f t="shared" si="26"/>
        <v>7076.5300000000007</v>
      </c>
      <c r="Y111" s="2"/>
      <c r="Z111" s="6">
        <f t="shared" si="27"/>
        <v>4.7176866666666673</v>
      </c>
    </row>
    <row r="112" spans="1:26" s="70" customFormat="1" ht="15" hidden="1" customHeight="1" outlineLevel="2" x14ac:dyDescent="0.3">
      <c r="A112" s="26"/>
      <c r="B112" s="12" t="str">
        <f>CONCATENATE("          ","6336"," - ","PROFESSIONAL SERVICES")</f>
        <v xml:space="preserve">          6336 - PROFESSIONAL SERVICES</v>
      </c>
      <c r="C112" s="12"/>
      <c r="D112" s="8">
        <v>390</v>
      </c>
      <c r="E112" s="3"/>
      <c r="F112" s="7">
        <f t="shared" si="20"/>
        <v>4.469751028678817E-4</v>
      </c>
      <c r="G112" s="3"/>
      <c r="H112" s="8">
        <v>0</v>
      </c>
      <c r="I112" s="3"/>
      <c r="J112" s="7">
        <f t="shared" si="21"/>
        <v>0</v>
      </c>
      <c r="K112" s="3"/>
      <c r="L112" s="8">
        <f t="shared" si="22"/>
        <v>390</v>
      </c>
      <c r="M112" s="3"/>
      <c r="N112" s="7">
        <f t="shared" si="23"/>
        <v>0</v>
      </c>
      <c r="O112" s="12"/>
      <c r="P112" s="8">
        <v>8576.5300000000007</v>
      </c>
      <c r="Q112" s="3"/>
      <c r="R112" s="7">
        <f t="shared" si="24"/>
        <v>1.596983166439292E-3</v>
      </c>
      <c r="S112" s="3"/>
      <c r="T112" s="8">
        <v>1500</v>
      </c>
      <c r="U112" s="3"/>
      <c r="V112" s="7">
        <f t="shared" si="25"/>
        <v>1.9276952360096553E-4</v>
      </c>
      <c r="W112" s="3"/>
      <c r="X112" s="8">
        <f t="shared" si="26"/>
        <v>7076.5300000000007</v>
      </c>
      <c r="Y112" s="3"/>
      <c r="Z112" s="7">
        <f t="shared" si="27"/>
        <v>4.7176866666666673</v>
      </c>
    </row>
    <row r="113" spans="1:26" s="69" customFormat="1" ht="15" customHeight="1" outlineLevel="1" collapsed="1" x14ac:dyDescent="0.3">
      <c r="A113" s="25"/>
      <c r="B113" s="14" t="str">
        <f>CONCATENATE("     ","Rent                                              ")</f>
        <v xml:space="preserve">     Rent                                              </v>
      </c>
      <c r="C113" s="14"/>
      <c r="D113" s="2">
        <f>SUM(OSRRefD22_16x_0)</f>
        <v>6100</v>
      </c>
      <c r="E113" s="2"/>
      <c r="F113" s="6">
        <f t="shared" si="20"/>
        <v>6.9911490448566109E-3</v>
      </c>
      <c r="G113" s="2"/>
      <c r="H113" s="2">
        <f>SUM(OSRRefH22_16x_0)</f>
        <v>6100</v>
      </c>
      <c r="I113" s="2"/>
      <c r="J113" s="6">
        <f t="shared" si="21"/>
        <v>9.4661113214691405E-3</v>
      </c>
      <c r="K113" s="2"/>
      <c r="L113" s="2">
        <f t="shared" si="22"/>
        <v>0</v>
      </c>
      <c r="M113" s="2"/>
      <c r="N113" s="6">
        <f t="shared" si="23"/>
        <v>0</v>
      </c>
      <c r="O113" s="14"/>
      <c r="P113" s="2">
        <f>SUM(OSRRefP22_16x_0)</f>
        <v>48800</v>
      </c>
      <c r="Q113" s="2"/>
      <c r="R113" s="6">
        <f t="shared" si="24"/>
        <v>9.0867493639312687E-3</v>
      </c>
      <c r="S113" s="2"/>
      <c r="T113" s="2">
        <f>SUM(OSRRefT22_16x_0)</f>
        <v>48800</v>
      </c>
      <c r="U113" s="2"/>
      <c r="V113" s="6">
        <f t="shared" si="25"/>
        <v>6.2714351678180794E-3</v>
      </c>
      <c r="W113" s="2"/>
      <c r="X113" s="2">
        <f t="shared" si="26"/>
        <v>0</v>
      </c>
      <c r="Y113" s="2"/>
      <c r="Z113" s="6">
        <f t="shared" si="27"/>
        <v>0</v>
      </c>
    </row>
    <row r="114" spans="1:26" s="70" customFormat="1" ht="15" hidden="1" customHeight="1" outlineLevel="2" x14ac:dyDescent="0.3">
      <c r="A114" s="26"/>
      <c r="B114" s="12" t="str">
        <f>CONCATENATE("          ","6273"," - ","RENT")</f>
        <v xml:space="preserve">          6273 - RENT</v>
      </c>
      <c r="C114" s="12"/>
      <c r="D114" s="8">
        <v>6100</v>
      </c>
      <c r="E114" s="3"/>
      <c r="F114" s="7">
        <f t="shared" si="20"/>
        <v>6.9911490448566109E-3</v>
      </c>
      <c r="G114" s="3"/>
      <c r="H114" s="8">
        <v>6100</v>
      </c>
      <c r="I114" s="3"/>
      <c r="J114" s="7">
        <f t="shared" si="21"/>
        <v>9.4661113214691405E-3</v>
      </c>
      <c r="K114" s="3"/>
      <c r="L114" s="8">
        <f t="shared" si="22"/>
        <v>0</v>
      </c>
      <c r="M114" s="3"/>
      <c r="N114" s="7">
        <f t="shared" si="23"/>
        <v>0</v>
      </c>
      <c r="O114" s="12"/>
      <c r="P114" s="8">
        <v>48800</v>
      </c>
      <c r="Q114" s="3"/>
      <c r="R114" s="7">
        <f t="shared" si="24"/>
        <v>9.0867493639312687E-3</v>
      </c>
      <c r="S114" s="3"/>
      <c r="T114" s="8">
        <v>48800</v>
      </c>
      <c r="U114" s="3"/>
      <c r="V114" s="7">
        <f t="shared" si="25"/>
        <v>6.2714351678180794E-3</v>
      </c>
      <c r="W114" s="3"/>
      <c r="X114" s="8">
        <f t="shared" si="26"/>
        <v>0</v>
      </c>
      <c r="Y114" s="3"/>
      <c r="Z114" s="7">
        <f t="shared" si="27"/>
        <v>0</v>
      </c>
    </row>
    <row r="115" spans="1:26" s="69" customFormat="1" ht="15" customHeight="1" outlineLevel="1" collapsed="1" x14ac:dyDescent="0.3">
      <c r="A115" s="25"/>
      <c r="B115" s="14" t="str">
        <f>CONCATENATE("     ","Repair and Maintenance                            ")</f>
        <v xml:space="preserve">     Repair and Maintenance                            </v>
      </c>
      <c r="C115" s="14"/>
      <c r="D115" s="2">
        <f>SUM(OSRRefD22_17x_0)</f>
        <v>8747.14</v>
      </c>
      <c r="E115" s="2"/>
      <c r="F115" s="6">
        <f t="shared" si="20"/>
        <v>1.0025009746922468E-2</v>
      </c>
      <c r="G115" s="2"/>
      <c r="H115" s="2">
        <f>SUM(OSRRefH22_17x_0)</f>
        <v>31160</v>
      </c>
      <c r="I115" s="2"/>
      <c r="J115" s="6">
        <f t="shared" si="21"/>
        <v>4.8354758815898104E-2</v>
      </c>
      <c r="K115" s="2"/>
      <c r="L115" s="2">
        <f t="shared" si="22"/>
        <v>-22412.86</v>
      </c>
      <c r="M115" s="2"/>
      <c r="N115" s="6">
        <f t="shared" si="23"/>
        <v>-0.71928305519897306</v>
      </c>
      <c r="O115" s="14"/>
      <c r="P115" s="2">
        <f>SUM(OSRRefP22_17x_0)</f>
        <v>121480.70999999999</v>
      </c>
      <c r="Q115" s="2"/>
      <c r="R115" s="6">
        <f t="shared" si="24"/>
        <v>2.2620179596770876E-2</v>
      </c>
      <c r="S115" s="2"/>
      <c r="T115" s="2">
        <f>SUM(OSRRefT22_17x_0)</f>
        <v>143739</v>
      </c>
      <c r="U115" s="2"/>
      <c r="V115" s="6">
        <f t="shared" si="25"/>
        <v>1.8472332368586124E-2</v>
      </c>
      <c r="W115" s="2"/>
      <c r="X115" s="2">
        <f t="shared" si="26"/>
        <v>-22258.290000000008</v>
      </c>
      <c r="Y115" s="2"/>
      <c r="Z115" s="6">
        <f t="shared" si="27"/>
        <v>-0.15485212781499808</v>
      </c>
    </row>
    <row r="116" spans="1:26" s="70" customFormat="1" ht="15" hidden="1" customHeight="1" outlineLevel="2" x14ac:dyDescent="0.3">
      <c r="A116" s="26"/>
      <c r="B116" s="12" t="str">
        <f>CONCATENATE("          ","6371"," - ","COMPUTER SOFTWARE MAINTENANCE")</f>
        <v xml:space="preserve">          6371 - COMPUTER SOFTWARE MAINTENANCE</v>
      </c>
      <c r="C116" s="12"/>
      <c r="D116" s="8"/>
      <c r="E116" s="3"/>
      <c r="F116" s="7">
        <f t="shared" si="20"/>
        <v>0</v>
      </c>
      <c r="G116" s="3"/>
      <c r="H116" s="8">
        <v>1000</v>
      </c>
      <c r="I116" s="3"/>
      <c r="J116" s="7">
        <f t="shared" si="21"/>
        <v>1.5518215281096952E-3</v>
      </c>
      <c r="K116" s="3"/>
      <c r="L116" s="8">
        <f t="shared" si="22"/>
        <v>-1000</v>
      </c>
      <c r="M116" s="3"/>
      <c r="N116" s="7">
        <f t="shared" si="23"/>
        <v>-1</v>
      </c>
      <c r="O116" s="12"/>
      <c r="P116" s="8">
        <v>62511</v>
      </c>
      <c r="Q116" s="3"/>
      <c r="R116" s="7">
        <f t="shared" si="24"/>
        <v>1.1639790768211219E-2</v>
      </c>
      <c r="S116" s="3"/>
      <c r="T116" s="8">
        <v>49723</v>
      </c>
      <c r="U116" s="3"/>
      <c r="V116" s="7">
        <f t="shared" si="25"/>
        <v>6.3900526813405398E-3</v>
      </c>
      <c r="W116" s="3"/>
      <c r="X116" s="8">
        <f t="shared" si="26"/>
        <v>12788</v>
      </c>
      <c r="Y116" s="3"/>
      <c r="Z116" s="7">
        <f t="shared" si="27"/>
        <v>0.2571848038131247</v>
      </c>
    </row>
    <row r="117" spans="1:26" s="70" customFormat="1" ht="15" hidden="1" customHeight="1" outlineLevel="2" x14ac:dyDescent="0.3">
      <c r="A117" s="26"/>
      <c r="B117" s="12" t="str">
        <f>CONCATENATE("          ","6372"," - ","COMPUTER HARDWARE MAINTENANCE")</f>
        <v xml:space="preserve">          6372 - COMPUTER HARDWARE MAINTENANCE</v>
      </c>
      <c r="C117" s="12"/>
      <c r="D117" s="8"/>
      <c r="E117" s="3"/>
      <c r="F117" s="7">
        <f t="shared" si="20"/>
        <v>0</v>
      </c>
      <c r="G117" s="3"/>
      <c r="H117" s="8">
        <v>3750</v>
      </c>
      <c r="I117" s="3"/>
      <c r="J117" s="7">
        <f t="shared" si="21"/>
        <v>5.8193307304113566E-3</v>
      </c>
      <c r="K117" s="3"/>
      <c r="L117" s="8">
        <f t="shared" si="22"/>
        <v>-3750</v>
      </c>
      <c r="M117" s="3"/>
      <c r="N117" s="7">
        <f t="shared" si="23"/>
        <v>-1</v>
      </c>
      <c r="O117" s="12"/>
      <c r="P117" s="8"/>
      <c r="Q117" s="3"/>
      <c r="R117" s="7">
        <f t="shared" si="24"/>
        <v>0</v>
      </c>
      <c r="S117" s="3"/>
      <c r="T117" s="8">
        <v>26620</v>
      </c>
      <c r="U117" s="3"/>
      <c r="V117" s="7">
        <f t="shared" si="25"/>
        <v>3.4210164788384687E-3</v>
      </c>
      <c r="W117" s="3"/>
      <c r="X117" s="8">
        <f t="shared" si="26"/>
        <v>-26620</v>
      </c>
      <c r="Y117" s="3"/>
      <c r="Z117" s="7">
        <f t="shared" si="27"/>
        <v>-1</v>
      </c>
    </row>
    <row r="118" spans="1:26" s="70" customFormat="1" ht="15" hidden="1" customHeight="1" outlineLevel="2" x14ac:dyDescent="0.3">
      <c r="A118" s="26"/>
      <c r="B118" s="12" t="str">
        <f>CONCATENATE("          ","6373"," - ","MAINTENANCE CONTRACTS")</f>
        <v xml:space="preserve">          6373 - MAINTENANCE CONTRACTS</v>
      </c>
      <c r="C118" s="12"/>
      <c r="D118" s="8">
        <v>1904.31</v>
      </c>
      <c r="E118" s="3"/>
      <c r="F118" s="7">
        <f t="shared" si="20"/>
        <v>2.1825106619034248E-3</v>
      </c>
      <c r="G118" s="3"/>
      <c r="H118" s="8">
        <v>26155</v>
      </c>
      <c r="I118" s="3"/>
      <c r="J118" s="7">
        <f t="shared" si="21"/>
        <v>4.0587892067709075E-2</v>
      </c>
      <c r="K118" s="3"/>
      <c r="L118" s="8">
        <f t="shared" si="22"/>
        <v>-24250.69</v>
      </c>
      <c r="M118" s="3"/>
      <c r="N118" s="7">
        <f t="shared" si="23"/>
        <v>-0.92719135920474094</v>
      </c>
      <c r="O118" s="12"/>
      <c r="P118" s="8">
        <v>18716.5</v>
      </c>
      <c r="Q118" s="3"/>
      <c r="R118" s="7">
        <f t="shared" si="24"/>
        <v>3.4850849276643358E-3</v>
      </c>
      <c r="S118" s="3"/>
      <c r="T118" s="8">
        <v>63226</v>
      </c>
      <c r="U118" s="3"/>
      <c r="V118" s="7">
        <f t="shared" si="25"/>
        <v>8.1253639327964321E-3</v>
      </c>
      <c r="W118" s="3"/>
      <c r="X118" s="8">
        <f t="shared" si="26"/>
        <v>-44509.5</v>
      </c>
      <c r="Y118" s="3"/>
      <c r="Z118" s="7">
        <f t="shared" si="27"/>
        <v>-0.70397463068990607</v>
      </c>
    </row>
    <row r="119" spans="1:26" s="70" customFormat="1" ht="15" hidden="1" customHeight="1" outlineLevel="2" x14ac:dyDescent="0.3">
      <c r="A119" s="26"/>
      <c r="B119" s="12" t="str">
        <f>CONCATENATE("          ","6375"," - ","OUTSIDE REPAIRS &amp; MAINTENANCE")</f>
        <v xml:space="preserve">          6375 - OUTSIDE REPAIRS &amp; MAINTENANCE</v>
      </c>
      <c r="C119" s="12"/>
      <c r="D119" s="8">
        <v>6842.83</v>
      </c>
      <c r="E119" s="3"/>
      <c r="F119" s="7">
        <f t="shared" si="20"/>
        <v>7.8424990850190432E-3</v>
      </c>
      <c r="G119" s="3"/>
      <c r="H119" s="8">
        <v>255</v>
      </c>
      <c r="I119" s="3"/>
      <c r="J119" s="7">
        <f t="shared" si="21"/>
        <v>3.9571448966797227E-4</v>
      </c>
      <c r="K119" s="3"/>
      <c r="L119" s="8">
        <f t="shared" si="22"/>
        <v>6587.83</v>
      </c>
      <c r="M119" s="3"/>
      <c r="N119" s="7">
        <f t="shared" si="23"/>
        <v>25.834627450980392</v>
      </c>
      <c r="O119" s="12"/>
      <c r="P119" s="8">
        <v>40253.21</v>
      </c>
      <c r="Q119" s="3"/>
      <c r="R119" s="7">
        <f t="shared" si="24"/>
        <v>7.4953039008953228E-3</v>
      </c>
      <c r="S119" s="3"/>
      <c r="T119" s="8">
        <v>4170</v>
      </c>
      <c r="U119" s="3"/>
      <c r="V119" s="7">
        <f t="shared" si="25"/>
        <v>5.3589927561068418E-4</v>
      </c>
      <c r="W119" s="3"/>
      <c r="X119" s="8">
        <f t="shared" si="26"/>
        <v>36083.21</v>
      </c>
      <c r="Y119" s="3"/>
      <c r="Z119" s="7">
        <f t="shared" si="27"/>
        <v>8.6530479616306959</v>
      </c>
    </row>
    <row r="120" spans="1:26" s="69" customFormat="1" ht="15" customHeight="1" outlineLevel="1" collapsed="1" x14ac:dyDescent="0.3">
      <c r="A120" s="25"/>
      <c r="B120" s="14" t="str">
        <f>CONCATENATE("     ","Royalty &amp; Commissions                             ")</f>
        <v xml:space="preserve">     Royalty &amp; Commissions                             </v>
      </c>
      <c r="C120" s="14"/>
      <c r="D120" s="2">
        <f>SUM(OSRRefD22_18x_0)</f>
        <v>4782.3600000000006</v>
      </c>
      <c r="E120" s="2"/>
      <c r="F120" s="6">
        <f t="shared" si="20"/>
        <v>5.4810150075672893E-3</v>
      </c>
      <c r="G120" s="2"/>
      <c r="H120" s="2">
        <f>SUM(OSRRefH22_18x_0)</f>
        <v>8090</v>
      </c>
      <c r="I120" s="2"/>
      <c r="J120" s="6">
        <f t="shared" si="21"/>
        <v>1.2554236162407435E-2</v>
      </c>
      <c r="K120" s="2"/>
      <c r="L120" s="2">
        <f t="shared" si="22"/>
        <v>-3307.6399999999994</v>
      </c>
      <c r="M120" s="2"/>
      <c r="N120" s="6">
        <f t="shared" si="23"/>
        <v>-0.4088553770086526</v>
      </c>
      <c r="O120" s="14"/>
      <c r="P120" s="2">
        <f>SUM(OSRRefP22_18x_0)</f>
        <v>50233.790000000008</v>
      </c>
      <c r="Q120" s="2"/>
      <c r="R120" s="6">
        <f t="shared" si="24"/>
        <v>9.3537266256220695E-3</v>
      </c>
      <c r="S120" s="2"/>
      <c r="T120" s="2">
        <f>SUM(OSRRefT22_18x_0)</f>
        <v>77509</v>
      </c>
      <c r="U120" s="2"/>
      <c r="V120" s="6">
        <f t="shared" si="25"/>
        <v>9.9609153365248261E-3</v>
      </c>
      <c r="W120" s="2"/>
      <c r="X120" s="2">
        <f t="shared" si="26"/>
        <v>-27275.209999999992</v>
      </c>
      <c r="Y120" s="2"/>
      <c r="Z120" s="6">
        <f t="shared" si="27"/>
        <v>-0.35189732805222607</v>
      </c>
    </row>
    <row r="121" spans="1:26" s="70" customFormat="1" ht="15" hidden="1" customHeight="1" outlineLevel="2" x14ac:dyDescent="0.3">
      <c r="A121" s="26"/>
      <c r="B121" s="12" t="str">
        <f>CONCATENATE("          ","6252"," - ","ROYALTY DUE CSTV")</f>
        <v xml:space="preserve">          6252 - ROYALTY DUE CSTV</v>
      </c>
      <c r="C121" s="12"/>
      <c r="D121" s="8"/>
      <c r="E121" s="3"/>
      <c r="F121" s="7">
        <f t="shared" si="20"/>
        <v>0</v>
      </c>
      <c r="G121" s="3"/>
      <c r="H121" s="8">
        <v>446</v>
      </c>
      <c r="I121" s="3"/>
      <c r="J121" s="7">
        <f t="shared" si="21"/>
        <v>6.9211240153692409E-4</v>
      </c>
      <c r="K121" s="3"/>
      <c r="L121" s="8">
        <f t="shared" si="22"/>
        <v>-446</v>
      </c>
      <c r="M121" s="3"/>
      <c r="N121" s="7">
        <f t="shared" si="23"/>
        <v>-1</v>
      </c>
      <c r="O121" s="12"/>
      <c r="P121" s="8"/>
      <c r="Q121" s="3"/>
      <c r="R121" s="7">
        <f t="shared" si="24"/>
        <v>0</v>
      </c>
      <c r="S121" s="3"/>
      <c r="T121" s="8">
        <v>11497</v>
      </c>
      <c r="U121" s="3"/>
      <c r="V121" s="7">
        <f t="shared" si="25"/>
        <v>1.4775141418935339E-3</v>
      </c>
      <c r="W121" s="3"/>
      <c r="X121" s="8">
        <f t="shared" si="26"/>
        <v>-11497</v>
      </c>
      <c r="Y121" s="3"/>
      <c r="Z121" s="7">
        <f t="shared" si="27"/>
        <v>-1</v>
      </c>
    </row>
    <row r="122" spans="1:26" s="70" customFormat="1" ht="15" hidden="1" customHeight="1" outlineLevel="2" x14ac:dyDescent="0.3">
      <c r="A122" s="26"/>
      <c r="B122" s="12" t="str">
        <f>CONCATENATE("          ","6253"," - ","ROYALTY DUE ATHLETICS-LRG")</f>
        <v xml:space="preserve">          6253 - ROYALTY DUE ATHLETICS-LRG</v>
      </c>
      <c r="C122" s="12"/>
      <c r="D122" s="8"/>
      <c r="E122" s="3"/>
      <c r="F122" s="7">
        <f t="shared" ref="F122:F151" si="28">IF(D$12=0,0,D122/D$12)</f>
        <v>0</v>
      </c>
      <c r="G122" s="3"/>
      <c r="H122" s="8">
        <v>0</v>
      </c>
      <c r="I122" s="3"/>
      <c r="J122" s="7">
        <f t="shared" ref="J122:J151" si="29">IF(H$12=0,0,H122/H$12)</f>
        <v>0</v>
      </c>
      <c r="K122" s="3"/>
      <c r="L122" s="8">
        <f t="shared" ref="L122:L151" si="30">+D122-H122</f>
        <v>0</v>
      </c>
      <c r="M122" s="3"/>
      <c r="N122" s="7">
        <f t="shared" ref="N122:N151" si="31">IF(H122=0,0,L122/H122)</f>
        <v>0</v>
      </c>
      <c r="O122" s="12"/>
      <c r="P122" s="8">
        <v>39221.160000000003</v>
      </c>
      <c r="Q122" s="3"/>
      <c r="R122" s="7">
        <f t="shared" ref="R122:R151" si="32">IF(P$12=0,0,P122/P$12)</f>
        <v>7.3031321861198057E-3</v>
      </c>
      <c r="S122" s="3"/>
      <c r="T122" s="8">
        <v>23947</v>
      </c>
      <c r="U122" s="3"/>
      <c r="V122" s="7">
        <f t="shared" ref="V122:V151" si="33">IF(T$12=0,0,T122/T$12)</f>
        <v>3.077501187781548E-3</v>
      </c>
      <c r="W122" s="3"/>
      <c r="X122" s="8">
        <f t="shared" ref="X122:X151" si="34">+P122-T122</f>
        <v>15274.160000000003</v>
      </c>
      <c r="Y122" s="3"/>
      <c r="Z122" s="7">
        <f t="shared" ref="Z122:Z151" si="35">IF(T122=0,0,X122/T122)</f>
        <v>0.63783187873220037</v>
      </c>
    </row>
    <row r="123" spans="1:26" s="70" customFormat="1" ht="15" hidden="1" customHeight="1" outlineLevel="2" x14ac:dyDescent="0.3">
      <c r="A123" s="26"/>
      <c r="B123" s="12" t="str">
        <f>CONCATENATE("          ","6254"," - ","ROYALTY &amp; COMMISSIONS")</f>
        <v xml:space="preserve">          6254 - ROYALTY &amp; COMMISSIONS</v>
      </c>
      <c r="C123" s="12"/>
      <c r="D123" s="8">
        <v>3147.46</v>
      </c>
      <c r="E123" s="3"/>
      <c r="F123" s="7">
        <f t="shared" si="28"/>
        <v>3.6072724545449819E-3</v>
      </c>
      <c r="G123" s="3"/>
      <c r="H123" s="8">
        <v>1000</v>
      </c>
      <c r="I123" s="3"/>
      <c r="J123" s="7">
        <f t="shared" si="29"/>
        <v>1.5518215281096952E-3</v>
      </c>
      <c r="K123" s="3"/>
      <c r="L123" s="8">
        <f t="shared" si="30"/>
        <v>2147.46</v>
      </c>
      <c r="M123" s="3"/>
      <c r="N123" s="7">
        <f t="shared" si="31"/>
        <v>2.1474600000000001</v>
      </c>
      <c r="O123" s="12"/>
      <c r="P123" s="8">
        <v>3509.15</v>
      </c>
      <c r="Q123" s="3"/>
      <c r="R123" s="7">
        <f t="shared" si="32"/>
        <v>6.5341734693523379E-4</v>
      </c>
      <c r="S123" s="3"/>
      <c r="T123" s="8">
        <v>1500</v>
      </c>
      <c r="U123" s="3"/>
      <c r="V123" s="7">
        <f t="shared" si="33"/>
        <v>1.9276952360096553E-4</v>
      </c>
      <c r="W123" s="3"/>
      <c r="X123" s="8">
        <f t="shared" si="34"/>
        <v>2009.15</v>
      </c>
      <c r="Y123" s="3"/>
      <c r="Z123" s="7">
        <f t="shared" si="35"/>
        <v>1.3394333333333335</v>
      </c>
    </row>
    <row r="124" spans="1:26" s="70" customFormat="1" ht="15" hidden="1" customHeight="1" outlineLevel="2" x14ac:dyDescent="0.3">
      <c r="A124" s="26"/>
      <c r="B124" s="12" t="str">
        <f>CONCATENATE("          ","6259"," - ","ROYALTY &amp; COMMISSIONS")</f>
        <v xml:space="preserve">          6259 - ROYALTY &amp; COMMISSIONS</v>
      </c>
      <c r="C124" s="12"/>
      <c r="D124" s="8">
        <v>1634.9</v>
      </c>
      <c r="E124" s="3"/>
      <c r="F124" s="7">
        <f t="shared" si="28"/>
        <v>1.8737425530223073E-3</v>
      </c>
      <c r="G124" s="3"/>
      <c r="H124" s="8">
        <v>6644</v>
      </c>
      <c r="I124" s="3"/>
      <c r="J124" s="7">
        <f t="shared" si="29"/>
        <v>1.0310302232760814E-2</v>
      </c>
      <c r="K124" s="3"/>
      <c r="L124" s="8">
        <f t="shared" si="30"/>
        <v>-5009.1000000000004</v>
      </c>
      <c r="M124" s="3"/>
      <c r="N124" s="7">
        <f t="shared" si="31"/>
        <v>-0.75392835641180023</v>
      </c>
      <c r="O124" s="12"/>
      <c r="P124" s="8">
        <v>7503.48</v>
      </c>
      <c r="Q124" s="3"/>
      <c r="R124" s="7">
        <f t="shared" si="32"/>
        <v>1.3971770925670284E-3</v>
      </c>
      <c r="S124" s="3"/>
      <c r="T124" s="8">
        <v>40565</v>
      </c>
      <c r="U124" s="3"/>
      <c r="V124" s="7">
        <f t="shared" si="33"/>
        <v>5.2131304832487785E-3</v>
      </c>
      <c r="W124" s="3"/>
      <c r="X124" s="8">
        <f t="shared" si="34"/>
        <v>-33061.520000000004</v>
      </c>
      <c r="Y124" s="3"/>
      <c r="Z124" s="7">
        <f t="shared" si="35"/>
        <v>-0.81502576112412184</v>
      </c>
    </row>
    <row r="125" spans="1:26" s="69" customFormat="1" ht="15" customHeight="1" outlineLevel="1" collapsed="1" x14ac:dyDescent="0.3">
      <c r="A125" s="25"/>
      <c r="B125" s="14" t="str">
        <f>CONCATENATE("     ","Services                                          ")</f>
        <v xml:space="preserve">     Services                                          </v>
      </c>
      <c r="C125" s="14"/>
      <c r="D125" s="2">
        <f>SUM(OSRRefD22_19x_0)</f>
        <v>7613.38</v>
      </c>
      <c r="E125" s="2"/>
      <c r="F125" s="6">
        <f t="shared" si="28"/>
        <v>8.725618740185315E-3</v>
      </c>
      <c r="G125" s="2"/>
      <c r="H125" s="2">
        <f>SUM(OSRRefH22_19x_0)</f>
        <v>4652</v>
      </c>
      <c r="I125" s="2"/>
      <c r="J125" s="6">
        <f t="shared" si="29"/>
        <v>7.2190737487663019E-3</v>
      </c>
      <c r="K125" s="2"/>
      <c r="L125" s="2">
        <f t="shared" si="30"/>
        <v>2961.38</v>
      </c>
      <c r="M125" s="2"/>
      <c r="N125" s="6">
        <f t="shared" si="31"/>
        <v>0.63658211521926056</v>
      </c>
      <c r="O125" s="14"/>
      <c r="P125" s="2">
        <f>SUM(OSRRefP22_19x_0)</f>
        <v>57926.630000000005</v>
      </c>
      <c r="Q125" s="2"/>
      <c r="R125" s="6">
        <f t="shared" si="32"/>
        <v>1.0786163284983236E-2</v>
      </c>
      <c r="S125" s="2"/>
      <c r="T125" s="2">
        <f>SUM(OSRRefT22_19x_0)</f>
        <v>37053</v>
      </c>
      <c r="U125" s="2"/>
      <c r="V125" s="6">
        <f t="shared" si="33"/>
        <v>4.7617927719910509E-3</v>
      </c>
      <c r="W125" s="2"/>
      <c r="X125" s="2">
        <f t="shared" si="34"/>
        <v>20873.630000000005</v>
      </c>
      <c r="Y125" s="2"/>
      <c r="Z125" s="6">
        <f t="shared" si="35"/>
        <v>0.56334520821525935</v>
      </c>
    </row>
    <row r="126" spans="1:26" s="70" customFormat="1" ht="15" hidden="1" customHeight="1" outlineLevel="2" x14ac:dyDescent="0.3">
      <c r="A126" s="26"/>
      <c r="B126" s="12" t="str">
        <f>CONCATENATE("          ","6282"," - ","JANITORIAL/EXTERMINATOR EXPENS")</f>
        <v xml:space="preserve">          6282 - JANITORIAL/EXTERMINATOR EXPENS</v>
      </c>
      <c r="C126" s="12"/>
      <c r="D126" s="8">
        <v>670.55</v>
      </c>
      <c r="E126" s="3"/>
      <c r="F126" s="7">
        <f t="shared" si="28"/>
        <v>7.6851065443091801E-4</v>
      </c>
      <c r="G126" s="3"/>
      <c r="H126" s="8">
        <v>4558</v>
      </c>
      <c r="I126" s="3"/>
      <c r="J126" s="7">
        <f t="shared" si="29"/>
        <v>7.073202525123991E-3</v>
      </c>
      <c r="K126" s="3"/>
      <c r="L126" s="8">
        <f t="shared" si="30"/>
        <v>-3887.45</v>
      </c>
      <c r="M126" s="3"/>
      <c r="N126" s="7">
        <f t="shared" si="31"/>
        <v>-0.85288503729706011</v>
      </c>
      <c r="O126" s="12"/>
      <c r="P126" s="8">
        <v>4937.58</v>
      </c>
      <c r="Q126" s="3"/>
      <c r="R126" s="7">
        <f t="shared" si="32"/>
        <v>9.1939655582704406E-4</v>
      </c>
      <c r="S126" s="3"/>
      <c r="T126" s="8">
        <v>36206</v>
      </c>
      <c r="U126" s="3"/>
      <c r="V126" s="7">
        <f t="shared" si="33"/>
        <v>4.6529422476643727E-3</v>
      </c>
      <c r="W126" s="3"/>
      <c r="X126" s="8">
        <f t="shared" si="34"/>
        <v>-31268.42</v>
      </c>
      <c r="Y126" s="3"/>
      <c r="Z126" s="7">
        <f t="shared" si="35"/>
        <v>-0.86362536596144279</v>
      </c>
    </row>
    <row r="127" spans="1:26" s="70" customFormat="1" ht="15" hidden="1" customHeight="1" outlineLevel="2" x14ac:dyDescent="0.3">
      <c r="A127" s="26"/>
      <c r="B127" s="12" t="str">
        <f>CONCATENATE("          ","6284"," - ","TRASH REMOVAL EXPENSE")</f>
        <v xml:space="preserve">          6284 - TRASH REMOVAL EXPENSE</v>
      </c>
      <c r="C127" s="12"/>
      <c r="D127" s="8">
        <v>149.69999999999999</v>
      </c>
      <c r="E127" s="3"/>
      <c r="F127" s="7">
        <f t="shared" si="28"/>
        <v>1.7156967410082534E-4</v>
      </c>
      <c r="G127" s="3"/>
      <c r="H127" s="8">
        <v>60</v>
      </c>
      <c r="I127" s="3"/>
      <c r="J127" s="7">
        <f t="shared" si="29"/>
        <v>9.3109291686581714E-5</v>
      </c>
      <c r="K127" s="3"/>
      <c r="L127" s="8">
        <f t="shared" si="30"/>
        <v>89.699999999999989</v>
      </c>
      <c r="M127" s="3"/>
      <c r="N127" s="7">
        <f t="shared" si="31"/>
        <v>1.4949999999999999</v>
      </c>
      <c r="O127" s="12"/>
      <c r="P127" s="8">
        <v>1190.47</v>
      </c>
      <c r="Q127" s="3"/>
      <c r="R127" s="7">
        <f t="shared" si="32"/>
        <v>2.2167013350982083E-4</v>
      </c>
      <c r="S127" s="3"/>
      <c r="T127" s="8">
        <v>600</v>
      </c>
      <c r="U127" s="3"/>
      <c r="V127" s="7">
        <f t="shared" si="33"/>
        <v>7.7107809440386224E-5</v>
      </c>
      <c r="W127" s="3"/>
      <c r="X127" s="8">
        <f t="shared" si="34"/>
        <v>590.47</v>
      </c>
      <c r="Y127" s="3"/>
      <c r="Z127" s="7">
        <f t="shared" si="35"/>
        <v>0.98411666666666675</v>
      </c>
    </row>
    <row r="128" spans="1:26" s="70" customFormat="1" ht="15" hidden="1" customHeight="1" outlineLevel="2" x14ac:dyDescent="0.3">
      <c r="A128" s="26"/>
      <c r="B128" s="12" t="str">
        <f>CONCATENATE("          ","6285"," - ","JANITORIAL SERVICES")</f>
        <v xml:space="preserve">          6285 - JANITORIAL SERVICES</v>
      </c>
      <c r="C128" s="12"/>
      <c r="D128" s="8">
        <v>6736.05</v>
      </c>
      <c r="E128" s="3"/>
      <c r="F128" s="7">
        <f t="shared" si="28"/>
        <v>7.7201195940338318E-3</v>
      </c>
      <c r="G128" s="3"/>
      <c r="H128" s="8"/>
      <c r="I128" s="3"/>
      <c r="J128" s="7">
        <f t="shared" si="29"/>
        <v>0</v>
      </c>
      <c r="K128" s="3"/>
      <c r="L128" s="8">
        <f t="shared" si="30"/>
        <v>6736.05</v>
      </c>
      <c r="M128" s="3"/>
      <c r="N128" s="7">
        <f t="shared" si="31"/>
        <v>0</v>
      </c>
      <c r="O128" s="12"/>
      <c r="P128" s="8">
        <v>51201.54</v>
      </c>
      <c r="Q128" s="3"/>
      <c r="R128" s="7">
        <f t="shared" si="32"/>
        <v>9.5339254308873227E-3</v>
      </c>
      <c r="S128" s="3"/>
      <c r="T128" s="8"/>
      <c r="U128" s="3"/>
      <c r="V128" s="7">
        <f t="shared" si="33"/>
        <v>0</v>
      </c>
      <c r="W128" s="3"/>
      <c r="X128" s="8">
        <f t="shared" si="34"/>
        <v>51201.54</v>
      </c>
      <c r="Y128" s="3"/>
      <c r="Z128" s="7">
        <f t="shared" si="35"/>
        <v>0</v>
      </c>
    </row>
    <row r="129" spans="1:26" s="70" customFormat="1" ht="15" hidden="1" customHeight="1" outlineLevel="2" x14ac:dyDescent="0.3">
      <c r="A129" s="26"/>
      <c r="B129" s="12" t="str">
        <f>CONCATENATE("          ","6286"," - ","LAUNDRY EXPENSE")</f>
        <v xml:space="preserve">          6286 - LAUNDRY EXPENSE</v>
      </c>
      <c r="C129" s="12"/>
      <c r="D129" s="8">
        <v>57.08</v>
      </c>
      <c r="E129" s="3"/>
      <c r="F129" s="7">
        <f t="shared" si="28"/>
        <v>6.5418817619740225E-5</v>
      </c>
      <c r="G129" s="3"/>
      <c r="H129" s="8">
        <v>34</v>
      </c>
      <c r="I129" s="3"/>
      <c r="J129" s="7">
        <f t="shared" si="29"/>
        <v>5.2761931955729635E-5</v>
      </c>
      <c r="K129" s="3"/>
      <c r="L129" s="8">
        <f t="shared" si="30"/>
        <v>23.08</v>
      </c>
      <c r="M129" s="3"/>
      <c r="N129" s="7">
        <f t="shared" si="31"/>
        <v>0.6788235294117646</v>
      </c>
      <c r="O129" s="12"/>
      <c r="P129" s="8">
        <v>597.04</v>
      </c>
      <c r="Q129" s="3"/>
      <c r="R129" s="7">
        <f t="shared" si="32"/>
        <v>1.1117116475904762E-4</v>
      </c>
      <c r="S129" s="3"/>
      <c r="T129" s="8">
        <v>247</v>
      </c>
      <c r="U129" s="3"/>
      <c r="V129" s="7">
        <f t="shared" si="33"/>
        <v>3.1742714886292323E-5</v>
      </c>
      <c r="W129" s="3"/>
      <c r="X129" s="8">
        <f t="shared" si="34"/>
        <v>350.03999999999996</v>
      </c>
      <c r="Y129" s="3"/>
      <c r="Z129" s="7">
        <f t="shared" si="35"/>
        <v>1.4171659919028339</v>
      </c>
    </row>
    <row r="130" spans="1:26" s="69" customFormat="1" ht="15" customHeight="1" outlineLevel="1" collapsed="1" x14ac:dyDescent="0.3">
      <c r="A130" s="25"/>
      <c r="B130" s="14" t="str">
        <f>CONCATENATE("     ","Subscriptions &amp; Dues                              ")</f>
        <v xml:space="preserve">     Subscriptions &amp; Dues                              </v>
      </c>
      <c r="C130" s="14"/>
      <c r="D130" s="2">
        <f>SUM(OSRRefD22_20x_0)</f>
        <v>176.99</v>
      </c>
      <c r="E130" s="2"/>
      <c r="F130" s="6">
        <f t="shared" si="28"/>
        <v>2.0284647040150355E-4</v>
      </c>
      <c r="G130" s="2"/>
      <c r="H130" s="2">
        <f>SUM(OSRRefH22_20x_0)</f>
        <v>1461</v>
      </c>
      <c r="I130" s="2"/>
      <c r="J130" s="6">
        <f t="shared" si="29"/>
        <v>2.2672112525682648E-3</v>
      </c>
      <c r="K130" s="2"/>
      <c r="L130" s="2">
        <f t="shared" si="30"/>
        <v>-1284.01</v>
      </c>
      <c r="M130" s="2"/>
      <c r="N130" s="6">
        <f t="shared" si="31"/>
        <v>-0.87885694729637232</v>
      </c>
      <c r="O130" s="14"/>
      <c r="P130" s="2">
        <f>SUM(OSRRefP22_20x_0)</f>
        <v>1870.72</v>
      </c>
      <c r="Q130" s="2"/>
      <c r="R130" s="6">
        <f t="shared" si="32"/>
        <v>3.483353231576537E-4</v>
      </c>
      <c r="S130" s="2"/>
      <c r="T130" s="2">
        <f>SUM(OSRRefT22_20x_0)</f>
        <v>10463</v>
      </c>
      <c r="U130" s="2"/>
      <c r="V130" s="6">
        <f t="shared" si="33"/>
        <v>1.3446316836246016E-3</v>
      </c>
      <c r="W130" s="2"/>
      <c r="X130" s="2">
        <f t="shared" si="34"/>
        <v>-8592.2800000000007</v>
      </c>
      <c r="Y130" s="2"/>
      <c r="Z130" s="6">
        <f t="shared" si="35"/>
        <v>-0.82120615502246019</v>
      </c>
    </row>
    <row r="131" spans="1:26" s="70" customFormat="1" ht="15" hidden="1" customHeight="1" outlineLevel="2" x14ac:dyDescent="0.3">
      <c r="A131" s="26"/>
      <c r="B131" s="12" t="str">
        <f>CONCATENATE("          ","6258"," - ","MEMBERSHIP DUES")</f>
        <v xml:space="preserve">          6258 - MEMBERSHIP DUES</v>
      </c>
      <c r="C131" s="12"/>
      <c r="D131" s="8">
        <v>176.99</v>
      </c>
      <c r="E131" s="3"/>
      <c r="F131" s="7">
        <f t="shared" si="28"/>
        <v>2.0284647040150355E-4</v>
      </c>
      <c r="G131" s="3"/>
      <c r="H131" s="8">
        <v>1300</v>
      </c>
      <c r="I131" s="3"/>
      <c r="J131" s="7">
        <f t="shared" si="29"/>
        <v>2.0173679865426036E-3</v>
      </c>
      <c r="K131" s="3"/>
      <c r="L131" s="8">
        <f t="shared" si="30"/>
        <v>-1123.01</v>
      </c>
      <c r="M131" s="3"/>
      <c r="N131" s="7">
        <f t="shared" si="31"/>
        <v>-0.86385384615384619</v>
      </c>
      <c r="O131" s="12"/>
      <c r="P131" s="8">
        <v>1870.72</v>
      </c>
      <c r="Q131" s="3"/>
      <c r="R131" s="7">
        <f t="shared" si="32"/>
        <v>3.483353231576537E-4</v>
      </c>
      <c r="S131" s="3"/>
      <c r="T131" s="8">
        <v>7795</v>
      </c>
      <c r="U131" s="3"/>
      <c r="V131" s="7">
        <f t="shared" si="33"/>
        <v>1.0017589576463508E-3</v>
      </c>
      <c r="W131" s="3"/>
      <c r="X131" s="8">
        <f t="shared" si="34"/>
        <v>-5924.28</v>
      </c>
      <c r="Y131" s="3"/>
      <c r="Z131" s="7">
        <f t="shared" si="35"/>
        <v>-0.76001026298909558</v>
      </c>
    </row>
    <row r="132" spans="1:26" s="70" customFormat="1" ht="15" hidden="1" customHeight="1" outlineLevel="2" x14ac:dyDescent="0.3">
      <c r="A132" s="26"/>
      <c r="B132" s="12" t="str">
        <f>CONCATENATE("          ","6275"," - ","SUBSCRIPTIONS")</f>
        <v xml:space="preserve">          6275 - SUBSCRIPTIONS</v>
      </c>
      <c r="C132" s="12"/>
      <c r="D132" s="8"/>
      <c r="E132" s="3"/>
      <c r="F132" s="7">
        <f t="shared" si="28"/>
        <v>0</v>
      </c>
      <c r="G132" s="3"/>
      <c r="H132" s="8">
        <v>161</v>
      </c>
      <c r="I132" s="3"/>
      <c r="J132" s="7">
        <f t="shared" si="29"/>
        <v>2.4984326602566095E-4</v>
      </c>
      <c r="K132" s="3"/>
      <c r="L132" s="8">
        <f t="shared" si="30"/>
        <v>-161</v>
      </c>
      <c r="M132" s="3"/>
      <c r="N132" s="7">
        <f t="shared" si="31"/>
        <v>-1</v>
      </c>
      <c r="O132" s="12"/>
      <c r="P132" s="8"/>
      <c r="Q132" s="3"/>
      <c r="R132" s="7">
        <f t="shared" si="32"/>
        <v>0</v>
      </c>
      <c r="S132" s="3"/>
      <c r="T132" s="8">
        <v>2668</v>
      </c>
      <c r="U132" s="3"/>
      <c r="V132" s="7">
        <f t="shared" si="33"/>
        <v>3.4287272597825069E-4</v>
      </c>
      <c r="W132" s="3"/>
      <c r="X132" s="8">
        <f t="shared" si="34"/>
        <v>-2668</v>
      </c>
      <c r="Y132" s="3"/>
      <c r="Z132" s="7">
        <f t="shared" si="35"/>
        <v>-1</v>
      </c>
    </row>
    <row r="133" spans="1:26" s="69" customFormat="1" ht="15" customHeight="1" outlineLevel="1" collapsed="1" x14ac:dyDescent="0.3">
      <c r="A133" s="25"/>
      <c r="B133" s="14" t="str">
        <f>CONCATENATE("     ","Supplies                                          ")</f>
        <v xml:space="preserve">     Supplies                                          </v>
      </c>
      <c r="C133" s="14"/>
      <c r="D133" s="2">
        <f>SUM(OSRRefD22_21x_0)</f>
        <v>20882.080000000002</v>
      </c>
      <c r="E133" s="2"/>
      <c r="F133" s="6">
        <f t="shared" si="28"/>
        <v>2.3932743220757269E-2</v>
      </c>
      <c r="G133" s="2"/>
      <c r="H133" s="2">
        <f>SUM(OSRRefH22_21x_0)</f>
        <v>16130</v>
      </c>
      <c r="I133" s="2"/>
      <c r="J133" s="6">
        <f t="shared" si="29"/>
        <v>2.5030881248409381E-2</v>
      </c>
      <c r="K133" s="2"/>
      <c r="L133" s="2">
        <f t="shared" si="30"/>
        <v>4752.0800000000017</v>
      </c>
      <c r="M133" s="2"/>
      <c r="N133" s="6">
        <f t="shared" si="31"/>
        <v>0.29461128332300074</v>
      </c>
      <c r="O133" s="14"/>
      <c r="P133" s="2">
        <f>SUM(OSRRefP22_21x_0)</f>
        <v>80622.2</v>
      </c>
      <c r="Q133" s="2"/>
      <c r="R133" s="6">
        <f t="shared" si="32"/>
        <v>1.5012166487064334E-2</v>
      </c>
      <c r="S133" s="2"/>
      <c r="T133" s="2">
        <f>SUM(OSRRefT22_21x_0)</f>
        <v>107520</v>
      </c>
      <c r="U133" s="2"/>
      <c r="V133" s="6">
        <f t="shared" si="33"/>
        <v>1.381771945171721E-2</v>
      </c>
      <c r="W133" s="2"/>
      <c r="X133" s="2">
        <f t="shared" si="34"/>
        <v>-26897.800000000003</v>
      </c>
      <c r="Y133" s="2"/>
      <c r="Z133" s="6">
        <f t="shared" si="35"/>
        <v>-0.2501655505952381</v>
      </c>
    </row>
    <row r="134" spans="1:26" s="70" customFormat="1" ht="15" hidden="1" customHeight="1" outlineLevel="2" x14ac:dyDescent="0.3">
      <c r="A134" s="26"/>
      <c r="B134" s="12" t="str">
        <f>CONCATENATE("          ","6234"," - ","EXPENDABLE SUPPLIES &amp; EQUIPMEN")</f>
        <v xml:space="preserve">          6234 - EXPENDABLE SUPPLIES &amp; EQUIPMEN</v>
      </c>
      <c r="C134" s="12"/>
      <c r="D134" s="8"/>
      <c r="E134" s="3"/>
      <c r="F134" s="7">
        <f t="shared" si="28"/>
        <v>0</v>
      </c>
      <c r="G134" s="3"/>
      <c r="H134" s="8">
        <v>350</v>
      </c>
      <c r="I134" s="3"/>
      <c r="J134" s="7">
        <f t="shared" si="29"/>
        <v>5.4313753483839326E-4</v>
      </c>
      <c r="K134" s="3"/>
      <c r="L134" s="8">
        <f t="shared" si="30"/>
        <v>-350</v>
      </c>
      <c r="M134" s="3"/>
      <c r="N134" s="7">
        <f t="shared" si="31"/>
        <v>-1</v>
      </c>
      <c r="O134" s="12"/>
      <c r="P134" s="8">
        <v>6484.46</v>
      </c>
      <c r="Q134" s="3"/>
      <c r="R134" s="7">
        <f t="shared" si="32"/>
        <v>1.2074316143532327E-3</v>
      </c>
      <c r="S134" s="3"/>
      <c r="T134" s="8">
        <v>2450</v>
      </c>
      <c r="U134" s="3"/>
      <c r="V134" s="7">
        <f t="shared" si="33"/>
        <v>3.1485688854824374E-4</v>
      </c>
      <c r="W134" s="3"/>
      <c r="X134" s="8">
        <f t="shared" si="34"/>
        <v>4034.46</v>
      </c>
      <c r="Y134" s="3"/>
      <c r="Z134" s="7">
        <f t="shared" si="35"/>
        <v>1.6467183673469388</v>
      </c>
    </row>
    <row r="135" spans="1:26" s="70" customFormat="1" ht="15" hidden="1" customHeight="1" outlineLevel="2" x14ac:dyDescent="0.3">
      <c r="A135" s="26"/>
      <c r="B135" s="12" t="str">
        <f>CONCATENATE("          ","6235"," - ","COVID-19 EXPENSES")</f>
        <v xml:space="preserve">          6235 - COVID-19 EXPENSES</v>
      </c>
      <c r="C135" s="12"/>
      <c r="D135" s="8"/>
      <c r="E135" s="3"/>
      <c r="F135" s="7">
        <f t="shared" si="28"/>
        <v>0</v>
      </c>
      <c r="G135" s="3"/>
      <c r="H135" s="8">
        <v>125</v>
      </c>
      <c r="I135" s="3"/>
      <c r="J135" s="7">
        <f t="shared" si="29"/>
        <v>1.939776910137119E-4</v>
      </c>
      <c r="K135" s="3"/>
      <c r="L135" s="8">
        <f t="shared" si="30"/>
        <v>-125</v>
      </c>
      <c r="M135" s="3"/>
      <c r="N135" s="7">
        <f t="shared" si="31"/>
        <v>-1</v>
      </c>
      <c r="O135" s="12"/>
      <c r="P135" s="8">
        <v>3430.32</v>
      </c>
      <c r="Q135" s="3"/>
      <c r="R135" s="7">
        <f t="shared" si="32"/>
        <v>6.3873889504263747E-4</v>
      </c>
      <c r="S135" s="3"/>
      <c r="T135" s="8">
        <v>1000</v>
      </c>
      <c r="U135" s="3"/>
      <c r="V135" s="7">
        <f t="shared" si="33"/>
        <v>1.2851301573397702E-4</v>
      </c>
      <c r="W135" s="3"/>
      <c r="X135" s="8">
        <f t="shared" si="34"/>
        <v>2430.3200000000002</v>
      </c>
      <c r="Y135" s="3"/>
      <c r="Z135" s="7">
        <f t="shared" si="35"/>
        <v>2.43032</v>
      </c>
    </row>
    <row r="136" spans="1:26" s="70" customFormat="1" ht="15" hidden="1" customHeight="1" outlineLevel="2" x14ac:dyDescent="0.3">
      <c r="A136" s="26"/>
      <c r="B136" s="12" t="str">
        <f>CONCATENATE("          ","6237"," - ","JANITORIAL SUPPLIES")</f>
        <v xml:space="preserve">          6237 - JANITORIAL SUPPLIES</v>
      </c>
      <c r="C136" s="12"/>
      <c r="D136" s="8">
        <v>31.68</v>
      </c>
      <c r="E136" s="3"/>
      <c r="F136" s="7">
        <f t="shared" si="28"/>
        <v>3.6308131432960237E-5</v>
      </c>
      <c r="G136" s="3"/>
      <c r="H136" s="8">
        <v>60</v>
      </c>
      <c r="I136" s="3"/>
      <c r="J136" s="7">
        <f t="shared" si="29"/>
        <v>9.3109291686581714E-5</v>
      </c>
      <c r="K136" s="3"/>
      <c r="L136" s="8">
        <f t="shared" si="30"/>
        <v>-28.32</v>
      </c>
      <c r="M136" s="3"/>
      <c r="N136" s="7">
        <f t="shared" si="31"/>
        <v>-0.47200000000000003</v>
      </c>
      <c r="O136" s="12"/>
      <c r="P136" s="8">
        <v>5218.08</v>
      </c>
      <c r="Q136" s="3"/>
      <c r="R136" s="7">
        <f t="shared" si="32"/>
        <v>9.7162674428160798E-4</v>
      </c>
      <c r="S136" s="3"/>
      <c r="T136" s="8">
        <v>360</v>
      </c>
      <c r="U136" s="3"/>
      <c r="V136" s="7">
        <f t="shared" si="33"/>
        <v>4.6264685664231728E-5</v>
      </c>
      <c r="W136" s="3"/>
      <c r="X136" s="8">
        <f t="shared" si="34"/>
        <v>4858.08</v>
      </c>
      <c r="Y136" s="3"/>
      <c r="Z136" s="7">
        <f t="shared" si="35"/>
        <v>13.494666666666667</v>
      </c>
    </row>
    <row r="137" spans="1:26" s="70" customFormat="1" ht="15" hidden="1" customHeight="1" outlineLevel="2" x14ac:dyDescent="0.3">
      <c r="A137" s="26"/>
      <c r="B137" s="12" t="str">
        <f>CONCATENATE("          ","6241"," - ","OFFICE EXPENSE")</f>
        <v xml:space="preserve">          6241 - OFFICE EXPENSE</v>
      </c>
      <c r="C137" s="12"/>
      <c r="D137" s="8">
        <v>4103.2700000000004</v>
      </c>
      <c r="E137" s="3"/>
      <c r="F137" s="7">
        <f t="shared" si="28"/>
        <v>4.7027167444735722E-3</v>
      </c>
      <c r="G137" s="3"/>
      <c r="H137" s="8">
        <v>720</v>
      </c>
      <c r="I137" s="3"/>
      <c r="J137" s="7">
        <f t="shared" si="29"/>
        <v>1.1173115002389806E-3</v>
      </c>
      <c r="K137" s="3"/>
      <c r="L137" s="8">
        <f t="shared" si="30"/>
        <v>3383.2700000000004</v>
      </c>
      <c r="M137" s="3"/>
      <c r="N137" s="7">
        <f t="shared" si="31"/>
        <v>4.698986111111112</v>
      </c>
      <c r="O137" s="12"/>
      <c r="P137" s="8">
        <v>13331.78</v>
      </c>
      <c r="Q137" s="3"/>
      <c r="R137" s="7">
        <f t="shared" si="32"/>
        <v>2.4824291687514672E-3</v>
      </c>
      <c r="S137" s="3"/>
      <c r="T137" s="8">
        <v>5010</v>
      </c>
      <c r="U137" s="3"/>
      <c r="V137" s="7">
        <f t="shared" si="33"/>
        <v>6.4385020882722489E-4</v>
      </c>
      <c r="W137" s="3"/>
      <c r="X137" s="8">
        <f t="shared" si="34"/>
        <v>8321.7800000000007</v>
      </c>
      <c r="Y137" s="3"/>
      <c r="Z137" s="7">
        <f t="shared" si="35"/>
        <v>1.6610339321357286</v>
      </c>
    </row>
    <row r="138" spans="1:26" s="70" customFormat="1" ht="15" hidden="1" customHeight="1" outlineLevel="2" x14ac:dyDescent="0.3">
      <c r="A138" s="26"/>
      <c r="B138" s="12" t="str">
        <f>CONCATENATE("          ","6243"," - ","PAPER SUPPLIES")</f>
        <v xml:space="preserve">          6243 - PAPER SUPPLIES</v>
      </c>
      <c r="C138" s="12"/>
      <c r="D138" s="8">
        <v>1072.69</v>
      </c>
      <c r="E138" s="3"/>
      <c r="F138" s="7">
        <f t="shared" si="28"/>
        <v>1.2293992899880719E-3</v>
      </c>
      <c r="G138" s="3"/>
      <c r="H138" s="8">
        <v>4000</v>
      </c>
      <c r="I138" s="3"/>
      <c r="J138" s="7">
        <f t="shared" si="29"/>
        <v>6.2072861124387807E-3</v>
      </c>
      <c r="K138" s="3"/>
      <c r="L138" s="8">
        <f t="shared" si="30"/>
        <v>-2927.31</v>
      </c>
      <c r="M138" s="3"/>
      <c r="N138" s="7">
        <f t="shared" si="31"/>
        <v>-0.73182749999999996</v>
      </c>
      <c r="O138" s="12"/>
      <c r="P138" s="8">
        <v>5666.31</v>
      </c>
      <c r="Q138" s="3"/>
      <c r="R138" s="7">
        <f t="shared" si="32"/>
        <v>1.0550889095970776E-3</v>
      </c>
      <c r="S138" s="3"/>
      <c r="T138" s="8">
        <v>31600</v>
      </c>
      <c r="U138" s="3"/>
      <c r="V138" s="7">
        <f t="shared" si="33"/>
        <v>4.061011297193674E-3</v>
      </c>
      <c r="W138" s="3"/>
      <c r="X138" s="8">
        <f t="shared" si="34"/>
        <v>-25933.69</v>
      </c>
      <c r="Y138" s="3"/>
      <c r="Z138" s="7">
        <f t="shared" si="35"/>
        <v>-0.82068639240506325</v>
      </c>
    </row>
    <row r="139" spans="1:26" s="70" customFormat="1" ht="15" hidden="1" customHeight="1" outlineLevel="2" x14ac:dyDescent="0.3">
      <c r="A139" s="26"/>
      <c r="B139" s="12" t="str">
        <f>CONCATENATE("          ","6245"," - ","PRINTING")</f>
        <v xml:space="preserve">          6245 - PRINTING</v>
      </c>
      <c r="C139" s="12"/>
      <c r="D139" s="8">
        <v>502.78</v>
      </c>
      <c r="E139" s="3"/>
      <c r="F139" s="7">
        <f t="shared" si="28"/>
        <v>5.7623113389721425E-4</v>
      </c>
      <c r="G139" s="3"/>
      <c r="H139" s="8">
        <v>1600</v>
      </c>
      <c r="I139" s="3"/>
      <c r="J139" s="7">
        <f t="shared" si="29"/>
        <v>2.4829144449755123E-3</v>
      </c>
      <c r="K139" s="3"/>
      <c r="L139" s="8">
        <f t="shared" si="30"/>
        <v>-1097.22</v>
      </c>
      <c r="M139" s="3"/>
      <c r="N139" s="7">
        <f t="shared" si="31"/>
        <v>-0.68576250000000005</v>
      </c>
      <c r="O139" s="12"/>
      <c r="P139" s="8">
        <v>3304.52</v>
      </c>
      <c r="Q139" s="3"/>
      <c r="R139" s="7">
        <f t="shared" si="32"/>
        <v>6.1531444688725729E-4</v>
      </c>
      <c r="S139" s="3"/>
      <c r="T139" s="8">
        <v>7495</v>
      </c>
      <c r="U139" s="3"/>
      <c r="V139" s="7">
        <f t="shared" si="33"/>
        <v>9.6320505292615789E-4</v>
      </c>
      <c r="W139" s="3"/>
      <c r="X139" s="8">
        <f t="shared" si="34"/>
        <v>-4190.4799999999996</v>
      </c>
      <c r="Y139" s="3"/>
      <c r="Z139" s="7">
        <f t="shared" si="35"/>
        <v>-0.55910340226817867</v>
      </c>
    </row>
    <row r="140" spans="1:26" s="70" customFormat="1" ht="15" hidden="1" customHeight="1" outlineLevel="2" x14ac:dyDescent="0.3">
      <c r="A140" s="26"/>
      <c r="B140" s="12" t="str">
        <f>CONCATENATE("          ","6247"," - ","STORE SUPPLIES")</f>
        <v xml:space="preserve">          6247 - STORE SUPPLIES</v>
      </c>
      <c r="C140" s="12"/>
      <c r="D140" s="8">
        <v>15171.66</v>
      </c>
      <c r="E140" s="3"/>
      <c r="F140" s="7">
        <f t="shared" si="28"/>
        <v>1.738808792096545E-2</v>
      </c>
      <c r="G140" s="3"/>
      <c r="H140" s="8">
        <v>9275</v>
      </c>
      <c r="I140" s="3"/>
      <c r="J140" s="7">
        <f t="shared" si="29"/>
        <v>1.4393144673217423E-2</v>
      </c>
      <c r="K140" s="3"/>
      <c r="L140" s="8">
        <f t="shared" si="30"/>
        <v>5896.66</v>
      </c>
      <c r="M140" s="3"/>
      <c r="N140" s="7">
        <f t="shared" si="31"/>
        <v>0.63575849056603773</v>
      </c>
      <c r="O140" s="12"/>
      <c r="P140" s="8">
        <v>43186.73</v>
      </c>
      <c r="Q140" s="3"/>
      <c r="R140" s="7">
        <f t="shared" si="32"/>
        <v>8.0415367081510536E-3</v>
      </c>
      <c r="S140" s="3"/>
      <c r="T140" s="8">
        <v>59605</v>
      </c>
      <c r="U140" s="3"/>
      <c r="V140" s="7">
        <f t="shared" si="33"/>
        <v>7.6600183028237012E-3</v>
      </c>
      <c r="W140" s="3"/>
      <c r="X140" s="8">
        <f t="shared" si="34"/>
        <v>-16418.269999999997</v>
      </c>
      <c r="Y140" s="3"/>
      <c r="Z140" s="7">
        <f t="shared" si="35"/>
        <v>-0.27545122053518994</v>
      </c>
    </row>
    <row r="141" spans="1:26" s="69" customFormat="1" ht="15" customHeight="1" outlineLevel="1" collapsed="1" x14ac:dyDescent="0.3">
      <c r="A141" s="25"/>
      <c r="B141" s="14" t="str">
        <f>CONCATENATE("     ","Telephone/Data Lines                              ")</f>
        <v xml:space="preserve">     Telephone/Data Lines                              </v>
      </c>
      <c r="C141" s="14"/>
      <c r="D141" s="2">
        <f>SUM(OSRRefD22_22x_0)</f>
        <v>1861.64</v>
      </c>
      <c r="E141" s="2"/>
      <c r="F141" s="6">
        <f t="shared" si="28"/>
        <v>2.1336070012896494E-3</v>
      </c>
      <c r="G141" s="2"/>
      <c r="H141" s="2">
        <f>SUM(OSRRefH22_22x_0)</f>
        <v>1913</v>
      </c>
      <c r="I141" s="2"/>
      <c r="J141" s="6">
        <f t="shared" si="29"/>
        <v>2.9686345832738467E-3</v>
      </c>
      <c r="K141" s="2"/>
      <c r="L141" s="2">
        <f t="shared" si="30"/>
        <v>-51.3599999999999</v>
      </c>
      <c r="M141" s="2"/>
      <c r="N141" s="6">
        <f t="shared" si="31"/>
        <v>-2.684788290642964E-2</v>
      </c>
      <c r="O141" s="14"/>
      <c r="P141" s="2">
        <f>SUM(OSRRefP22_22x_0)</f>
        <v>15620.23</v>
      </c>
      <c r="Q141" s="2"/>
      <c r="R141" s="6">
        <f t="shared" si="32"/>
        <v>2.9085474388721336E-3</v>
      </c>
      <c r="S141" s="2"/>
      <c r="T141" s="2">
        <f>SUM(OSRRefT22_22x_0)</f>
        <v>15904</v>
      </c>
      <c r="U141" s="2"/>
      <c r="V141" s="6">
        <f t="shared" si="33"/>
        <v>2.0438710022331707E-3</v>
      </c>
      <c r="W141" s="2"/>
      <c r="X141" s="2">
        <f t="shared" si="34"/>
        <v>-283.77000000000044</v>
      </c>
      <c r="Y141" s="2"/>
      <c r="Z141" s="6">
        <f t="shared" si="35"/>
        <v>-1.7842681086519142E-2</v>
      </c>
    </row>
    <row r="142" spans="1:26" s="70" customFormat="1" ht="15" hidden="1" customHeight="1" outlineLevel="2" x14ac:dyDescent="0.3">
      <c r="A142" s="26"/>
      <c r="B142" s="12" t="str">
        <f>CONCATENATE("          ","6303"," - ","DATA PHONE LINES")</f>
        <v xml:space="preserve">          6303 - DATA PHONE LINES</v>
      </c>
      <c r="C142" s="12"/>
      <c r="D142" s="8"/>
      <c r="E142" s="3"/>
      <c r="F142" s="7">
        <f t="shared" si="28"/>
        <v>0</v>
      </c>
      <c r="G142" s="3"/>
      <c r="H142" s="8">
        <v>50</v>
      </c>
      <c r="I142" s="3"/>
      <c r="J142" s="7">
        <f t="shared" si="29"/>
        <v>7.7591076405484759E-5</v>
      </c>
      <c r="K142" s="3"/>
      <c r="L142" s="8">
        <f t="shared" si="30"/>
        <v>-50</v>
      </c>
      <c r="M142" s="3"/>
      <c r="N142" s="7">
        <f t="shared" si="31"/>
        <v>-1</v>
      </c>
      <c r="O142" s="12"/>
      <c r="P142" s="8">
        <v>295</v>
      </c>
      <c r="Q142" s="3"/>
      <c r="R142" s="7">
        <f t="shared" si="32"/>
        <v>5.4930144720486149E-5</v>
      </c>
      <c r="S142" s="3"/>
      <c r="T142" s="8">
        <v>400</v>
      </c>
      <c r="U142" s="3"/>
      <c r="V142" s="7">
        <f t="shared" si="33"/>
        <v>5.1405206293590812E-5</v>
      </c>
      <c r="W142" s="3"/>
      <c r="X142" s="8">
        <f t="shared" si="34"/>
        <v>-105</v>
      </c>
      <c r="Y142" s="3"/>
      <c r="Z142" s="7">
        <f t="shared" si="35"/>
        <v>-0.26250000000000001</v>
      </c>
    </row>
    <row r="143" spans="1:26" s="70" customFormat="1" ht="15" hidden="1" customHeight="1" outlineLevel="2" x14ac:dyDescent="0.3">
      <c r="A143" s="26"/>
      <c r="B143" s="12" t="str">
        <f>CONCATENATE("          ","6309"," - ","TELEPHONE")</f>
        <v xml:space="preserve">          6309 - TELEPHONE</v>
      </c>
      <c r="C143" s="12"/>
      <c r="D143" s="8">
        <v>1861.64</v>
      </c>
      <c r="E143" s="3"/>
      <c r="F143" s="7">
        <f t="shared" si="28"/>
        <v>2.1336070012896494E-3</v>
      </c>
      <c r="G143" s="3"/>
      <c r="H143" s="8">
        <v>1863</v>
      </c>
      <c r="I143" s="3"/>
      <c r="J143" s="7">
        <f t="shared" si="29"/>
        <v>2.8910435068683622E-3</v>
      </c>
      <c r="K143" s="3"/>
      <c r="L143" s="8">
        <f t="shared" si="30"/>
        <v>-1.3599999999999</v>
      </c>
      <c r="M143" s="3"/>
      <c r="N143" s="7">
        <f t="shared" si="31"/>
        <v>-7.3000536768647343E-4</v>
      </c>
      <c r="O143" s="12"/>
      <c r="P143" s="8">
        <v>15325.23</v>
      </c>
      <c r="Q143" s="3"/>
      <c r="R143" s="7">
        <f t="shared" si="32"/>
        <v>2.8536172941516472E-3</v>
      </c>
      <c r="S143" s="3"/>
      <c r="T143" s="8">
        <v>15504</v>
      </c>
      <c r="U143" s="3"/>
      <c r="V143" s="7">
        <f t="shared" si="33"/>
        <v>1.99246579593958E-3</v>
      </c>
      <c r="W143" s="3"/>
      <c r="X143" s="8">
        <f t="shared" si="34"/>
        <v>-178.77000000000044</v>
      </c>
      <c r="Y143" s="3"/>
      <c r="Z143" s="7">
        <f t="shared" si="35"/>
        <v>-1.1530572755417984E-2</v>
      </c>
    </row>
    <row r="144" spans="1:26" s="69" customFormat="1" ht="15" customHeight="1" outlineLevel="1" collapsed="1" x14ac:dyDescent="0.3">
      <c r="A144" s="25"/>
      <c r="B144" s="14" t="str">
        <f>CONCATENATE("     ","Training                                          ")</f>
        <v xml:space="preserve">     Training                                          </v>
      </c>
      <c r="C144" s="14"/>
      <c r="D144" s="2">
        <f>SUM(OSRRefD22_23x_0)</f>
        <v>620</v>
      </c>
      <c r="E144" s="2"/>
      <c r="F144" s="6">
        <f t="shared" si="28"/>
        <v>7.1057580455919647E-4</v>
      </c>
      <c r="G144" s="2"/>
      <c r="H144" s="2">
        <f>SUM(OSRRefH22_23x_0)</f>
        <v>2000</v>
      </c>
      <c r="I144" s="2"/>
      <c r="J144" s="6">
        <f t="shared" si="29"/>
        <v>3.1036430562193904E-3</v>
      </c>
      <c r="K144" s="2"/>
      <c r="L144" s="2">
        <f t="shared" si="30"/>
        <v>-1380</v>
      </c>
      <c r="M144" s="2"/>
      <c r="N144" s="6">
        <f t="shared" si="31"/>
        <v>-0.69</v>
      </c>
      <c r="O144" s="14"/>
      <c r="P144" s="2">
        <f>SUM(OSRRefP22_23x_0)</f>
        <v>1215</v>
      </c>
      <c r="Q144" s="2"/>
      <c r="R144" s="6">
        <f t="shared" si="32"/>
        <v>2.2623771469623956E-4</v>
      </c>
      <c r="S144" s="2"/>
      <c r="T144" s="2">
        <f>SUM(OSRRefT22_23x_0)</f>
        <v>2150</v>
      </c>
      <c r="U144" s="2"/>
      <c r="V144" s="6">
        <f t="shared" si="33"/>
        <v>2.7630298382805063E-4</v>
      </c>
      <c r="W144" s="2"/>
      <c r="X144" s="2">
        <f t="shared" si="34"/>
        <v>-935</v>
      </c>
      <c r="Y144" s="2"/>
      <c r="Z144" s="6">
        <f t="shared" si="35"/>
        <v>-0.43488372093023253</v>
      </c>
    </row>
    <row r="145" spans="1:26" s="70" customFormat="1" ht="15" hidden="1" customHeight="1" outlineLevel="2" x14ac:dyDescent="0.3">
      <c r="A145" s="26"/>
      <c r="B145" s="12" t="str">
        <f>CONCATENATE("          ","6376"," - ","TRAINING")</f>
        <v xml:space="preserve">          6376 - TRAINING</v>
      </c>
      <c r="C145" s="12"/>
      <c r="D145" s="8">
        <v>620</v>
      </c>
      <c r="E145" s="3"/>
      <c r="F145" s="7">
        <f t="shared" si="28"/>
        <v>7.1057580455919647E-4</v>
      </c>
      <c r="G145" s="3"/>
      <c r="H145" s="8">
        <v>2000</v>
      </c>
      <c r="I145" s="3"/>
      <c r="J145" s="7">
        <f t="shared" si="29"/>
        <v>3.1036430562193904E-3</v>
      </c>
      <c r="K145" s="3"/>
      <c r="L145" s="8">
        <f t="shared" si="30"/>
        <v>-1380</v>
      </c>
      <c r="M145" s="3"/>
      <c r="N145" s="7">
        <f t="shared" si="31"/>
        <v>-0.69</v>
      </c>
      <c r="O145" s="12"/>
      <c r="P145" s="8">
        <v>1215</v>
      </c>
      <c r="Q145" s="3"/>
      <c r="R145" s="7">
        <f t="shared" si="32"/>
        <v>2.2623771469623956E-4</v>
      </c>
      <c r="S145" s="3"/>
      <c r="T145" s="8">
        <v>2150</v>
      </c>
      <c r="U145" s="3"/>
      <c r="V145" s="7">
        <f t="shared" si="33"/>
        <v>2.7630298382805063E-4</v>
      </c>
      <c r="W145" s="3"/>
      <c r="X145" s="8">
        <f t="shared" si="34"/>
        <v>-935</v>
      </c>
      <c r="Y145" s="3"/>
      <c r="Z145" s="7">
        <f t="shared" si="35"/>
        <v>-0.43488372093023253</v>
      </c>
    </row>
    <row r="146" spans="1:26" s="69" customFormat="1" ht="15" customHeight="1" outlineLevel="1" collapsed="1" x14ac:dyDescent="0.3">
      <c r="A146" s="25"/>
      <c r="B146" s="14" t="str">
        <f>CONCATENATE("     ","Travel                                            ")</f>
        <v xml:space="preserve">     Travel                                            </v>
      </c>
      <c r="C146" s="14"/>
      <c r="D146" s="2">
        <f>SUM(OSRRefD22_24x_0)</f>
        <v>206.75</v>
      </c>
      <c r="E146" s="2"/>
      <c r="F146" s="6">
        <f t="shared" si="28"/>
        <v>2.3695410902034497E-4</v>
      </c>
      <c r="G146" s="2"/>
      <c r="H146" s="2">
        <f>SUM(OSRRefH22_24x_0)</f>
        <v>175</v>
      </c>
      <c r="I146" s="2"/>
      <c r="J146" s="6">
        <f t="shared" si="29"/>
        <v>2.7156876741919663E-4</v>
      </c>
      <c r="K146" s="2"/>
      <c r="L146" s="2">
        <f t="shared" si="30"/>
        <v>31.75</v>
      </c>
      <c r="M146" s="2"/>
      <c r="N146" s="6">
        <f t="shared" si="31"/>
        <v>0.18142857142857144</v>
      </c>
      <c r="O146" s="14"/>
      <c r="P146" s="2">
        <f>SUM(OSRRefP22_24x_0)</f>
        <v>1088.76</v>
      </c>
      <c r="Q146" s="2"/>
      <c r="R146" s="6">
        <f t="shared" si="32"/>
        <v>2.0273133683347967E-4</v>
      </c>
      <c r="S146" s="2"/>
      <c r="T146" s="2">
        <f>SUM(OSRRefT22_24x_0)</f>
        <v>1650</v>
      </c>
      <c r="U146" s="2"/>
      <c r="V146" s="6">
        <f t="shared" si="33"/>
        <v>2.1204647596106209E-4</v>
      </c>
      <c r="W146" s="2"/>
      <c r="X146" s="2">
        <f t="shared" si="34"/>
        <v>-561.24</v>
      </c>
      <c r="Y146" s="2"/>
      <c r="Z146" s="6">
        <f t="shared" si="35"/>
        <v>-0.34014545454545453</v>
      </c>
    </row>
    <row r="147" spans="1:26" s="70" customFormat="1" ht="15" hidden="1" customHeight="1" outlineLevel="2" x14ac:dyDescent="0.3">
      <c r="A147" s="26"/>
      <c r="B147" s="12" t="str">
        <f>CONCATENATE("          ","6292"," - ","TRAVEL/CONFERENCE")</f>
        <v xml:space="preserve">          6292 - TRAVEL/CONFERENCE</v>
      </c>
      <c r="C147" s="12"/>
      <c r="D147" s="8"/>
      <c r="E147" s="3"/>
      <c r="F147" s="7">
        <f t="shared" si="28"/>
        <v>0</v>
      </c>
      <c r="G147" s="3"/>
      <c r="H147" s="8">
        <v>125</v>
      </c>
      <c r="I147" s="3"/>
      <c r="J147" s="7">
        <f t="shared" si="29"/>
        <v>1.939776910137119E-4</v>
      </c>
      <c r="K147" s="3"/>
      <c r="L147" s="8">
        <f t="shared" si="30"/>
        <v>-125</v>
      </c>
      <c r="M147" s="3"/>
      <c r="N147" s="7">
        <f t="shared" si="31"/>
        <v>-1</v>
      </c>
      <c r="O147" s="12"/>
      <c r="P147" s="8">
        <v>495</v>
      </c>
      <c r="Q147" s="3"/>
      <c r="R147" s="7">
        <f t="shared" si="32"/>
        <v>9.2170920802171674E-5</v>
      </c>
      <c r="S147" s="3"/>
      <c r="T147" s="8">
        <v>1000</v>
      </c>
      <c r="U147" s="3"/>
      <c r="V147" s="7">
        <f t="shared" si="33"/>
        <v>1.2851301573397702E-4</v>
      </c>
      <c r="W147" s="3"/>
      <c r="X147" s="8">
        <f t="shared" si="34"/>
        <v>-505</v>
      </c>
      <c r="Y147" s="3"/>
      <c r="Z147" s="7">
        <f t="shared" si="35"/>
        <v>-0.505</v>
      </c>
    </row>
    <row r="148" spans="1:26" s="70" customFormat="1" ht="15" hidden="1" customHeight="1" outlineLevel="2" x14ac:dyDescent="0.3">
      <c r="A148" s="26"/>
      <c r="B148" s="12" t="str">
        <f>CONCATENATE("          ","6294"," - ","TRAVEL OPERATIONAL")</f>
        <v xml:space="preserve">          6294 - TRAVEL OPERATIONAL</v>
      </c>
      <c r="C148" s="12"/>
      <c r="D148" s="8">
        <v>116.74</v>
      </c>
      <c r="E148" s="3"/>
      <c r="F148" s="7">
        <f t="shared" si="28"/>
        <v>1.3379454745845258E-4</v>
      </c>
      <c r="G148" s="3"/>
      <c r="H148" s="8">
        <v>25</v>
      </c>
      <c r="I148" s="3"/>
      <c r="J148" s="7">
        <f t="shared" si="29"/>
        <v>3.879553820274238E-5</v>
      </c>
      <c r="K148" s="3"/>
      <c r="L148" s="8">
        <f t="shared" si="30"/>
        <v>91.74</v>
      </c>
      <c r="M148" s="3"/>
      <c r="N148" s="7">
        <f t="shared" si="31"/>
        <v>3.6696</v>
      </c>
      <c r="O148" s="12"/>
      <c r="P148" s="8">
        <v>356.67</v>
      </c>
      <c r="Q148" s="3"/>
      <c r="R148" s="7">
        <f t="shared" si="32"/>
        <v>6.6413338025273885E-5</v>
      </c>
      <c r="S148" s="3"/>
      <c r="T148" s="8">
        <v>200</v>
      </c>
      <c r="U148" s="3"/>
      <c r="V148" s="7">
        <f t="shared" si="33"/>
        <v>2.5702603146795406E-5</v>
      </c>
      <c r="W148" s="3"/>
      <c r="X148" s="8">
        <f t="shared" si="34"/>
        <v>156.67000000000002</v>
      </c>
      <c r="Y148" s="3"/>
      <c r="Z148" s="7">
        <f t="shared" si="35"/>
        <v>0.7833500000000001</v>
      </c>
    </row>
    <row r="149" spans="1:26" s="70" customFormat="1" ht="15" hidden="1" customHeight="1" outlineLevel="2" x14ac:dyDescent="0.3">
      <c r="A149" s="26"/>
      <c r="B149" s="12" t="str">
        <f>CONCATENATE("          ","6298"," - ","VEHICLE MILEAGE")</f>
        <v xml:space="preserve">          6298 - VEHICLE MILEAGE</v>
      </c>
      <c r="C149" s="12"/>
      <c r="D149" s="8">
        <v>90.01</v>
      </c>
      <c r="E149" s="3"/>
      <c r="F149" s="7">
        <f t="shared" si="28"/>
        <v>1.0315956156189238E-4</v>
      </c>
      <c r="G149" s="3"/>
      <c r="H149" s="8">
        <v>25</v>
      </c>
      <c r="I149" s="3"/>
      <c r="J149" s="7">
        <f t="shared" si="29"/>
        <v>3.879553820274238E-5</v>
      </c>
      <c r="K149" s="3"/>
      <c r="L149" s="8">
        <f t="shared" si="30"/>
        <v>65.010000000000005</v>
      </c>
      <c r="M149" s="3"/>
      <c r="N149" s="7">
        <f t="shared" si="31"/>
        <v>2.6004</v>
      </c>
      <c r="O149" s="12"/>
      <c r="P149" s="8">
        <v>237.09</v>
      </c>
      <c r="Q149" s="3"/>
      <c r="R149" s="7">
        <f t="shared" si="32"/>
        <v>4.4147078006034103E-5</v>
      </c>
      <c r="S149" s="3"/>
      <c r="T149" s="8">
        <v>450</v>
      </c>
      <c r="U149" s="3"/>
      <c r="V149" s="7">
        <f t="shared" si="33"/>
        <v>5.7830857080289661E-5</v>
      </c>
      <c r="W149" s="3"/>
      <c r="X149" s="8">
        <f t="shared" si="34"/>
        <v>-212.91</v>
      </c>
      <c r="Y149" s="3"/>
      <c r="Z149" s="7">
        <f t="shared" si="35"/>
        <v>-0.47313333333333335</v>
      </c>
    </row>
    <row r="150" spans="1:26" s="69" customFormat="1" ht="15" customHeight="1" outlineLevel="1" collapsed="1" x14ac:dyDescent="0.3">
      <c r="A150" s="25"/>
      <c r="B150" s="14" t="str">
        <f>CONCATENATE("     ","Utilities                                         ")</f>
        <v xml:space="preserve">     Utilities                                         </v>
      </c>
      <c r="C150" s="14"/>
      <c r="D150" s="2">
        <f>SUM(OSRRefD22_25x_0)</f>
        <v>6455.65</v>
      </c>
      <c r="E150" s="2"/>
      <c r="F150" s="6">
        <f t="shared" si="28"/>
        <v>7.3987559559718979E-3</v>
      </c>
      <c r="G150" s="2"/>
      <c r="H150" s="2">
        <f>SUM(OSRRefH22_25x_0)</f>
        <v>8800</v>
      </c>
      <c r="I150" s="2"/>
      <c r="J150" s="6">
        <f t="shared" si="29"/>
        <v>1.3656029447365317E-2</v>
      </c>
      <c r="K150" s="2"/>
      <c r="L150" s="2">
        <f t="shared" si="30"/>
        <v>-2344.3500000000004</v>
      </c>
      <c r="M150" s="2"/>
      <c r="N150" s="6">
        <f t="shared" si="31"/>
        <v>-0.26640340909090915</v>
      </c>
      <c r="O150" s="14"/>
      <c r="P150" s="2">
        <f>SUM(OSRRefP22_25x_0)</f>
        <v>43695.07</v>
      </c>
      <c r="Q150" s="2"/>
      <c r="R150" s="6">
        <f t="shared" si="32"/>
        <v>8.136191588717874E-3</v>
      </c>
      <c r="S150" s="2"/>
      <c r="T150" s="2">
        <f>SUM(OSRRefT22_25x_0)</f>
        <v>51640</v>
      </c>
      <c r="U150" s="2"/>
      <c r="V150" s="6">
        <f t="shared" si="33"/>
        <v>6.6364121325025735E-3</v>
      </c>
      <c r="W150" s="2"/>
      <c r="X150" s="2">
        <f t="shared" si="34"/>
        <v>-7944.93</v>
      </c>
      <c r="Y150" s="2"/>
      <c r="Z150" s="6">
        <f t="shared" si="35"/>
        <v>-0.15385224632068165</v>
      </c>
    </row>
    <row r="151" spans="1:26" s="70" customFormat="1" ht="15" hidden="1" customHeight="1" outlineLevel="2" x14ac:dyDescent="0.3">
      <c r="A151" s="26"/>
      <c r="B151" s="12" t="str">
        <f>CONCATENATE("          ","6274"," - ","UTILITIES")</f>
        <v xml:space="preserve">          6274 - UTILITIES</v>
      </c>
      <c r="C151" s="12"/>
      <c r="D151" s="8">
        <v>6455.65</v>
      </c>
      <c r="E151" s="3"/>
      <c r="F151" s="7">
        <f t="shared" si="28"/>
        <v>7.3987559559718979E-3</v>
      </c>
      <c r="G151" s="3"/>
      <c r="H151" s="8">
        <v>8800</v>
      </c>
      <c r="I151" s="3"/>
      <c r="J151" s="7">
        <f t="shared" si="29"/>
        <v>1.3656029447365317E-2</v>
      </c>
      <c r="K151" s="3"/>
      <c r="L151" s="8">
        <f t="shared" si="30"/>
        <v>-2344.3500000000004</v>
      </c>
      <c r="M151" s="3"/>
      <c r="N151" s="7">
        <f t="shared" si="31"/>
        <v>-0.26640340909090915</v>
      </c>
      <c r="O151" s="12"/>
      <c r="P151" s="8">
        <v>43695.07</v>
      </c>
      <c r="Q151" s="3"/>
      <c r="R151" s="7">
        <f t="shared" si="32"/>
        <v>8.136191588717874E-3</v>
      </c>
      <c r="S151" s="3"/>
      <c r="T151" s="8">
        <v>51640</v>
      </c>
      <c r="U151" s="3"/>
      <c r="V151" s="7">
        <f t="shared" si="33"/>
        <v>6.6364121325025735E-3</v>
      </c>
      <c r="W151" s="3"/>
      <c r="X151" s="8">
        <f t="shared" si="34"/>
        <v>-7944.93</v>
      </c>
      <c r="Y151" s="3"/>
      <c r="Z151" s="7">
        <f t="shared" si="35"/>
        <v>-0.15385224632068165</v>
      </c>
    </row>
    <row r="152" spans="1:26" s="65" customFormat="1" ht="15" customHeight="1" x14ac:dyDescent="0.3">
      <c r="A152" s="35"/>
      <c r="B152" s="35"/>
      <c r="C152" s="35"/>
      <c r="D152" s="2"/>
      <c r="E152" s="2"/>
      <c r="F152" s="6"/>
      <c r="G152" s="2"/>
      <c r="H152" s="2"/>
      <c r="I152" s="2"/>
      <c r="J152" s="6"/>
      <c r="K152" s="2"/>
      <c r="L152" s="2"/>
      <c r="M152" s="2"/>
      <c r="N152" s="6"/>
      <c r="O152" s="35"/>
      <c r="P152" s="2"/>
      <c r="Q152" s="2"/>
      <c r="R152" s="6"/>
      <c r="S152" s="2"/>
      <c r="T152" s="2"/>
      <c r="U152" s="2"/>
      <c r="V152" s="6"/>
      <c r="W152" s="2"/>
      <c r="X152" s="2"/>
      <c r="Y152" s="2"/>
      <c r="Z152" s="6"/>
    </row>
    <row r="153" spans="1:26" s="63" customFormat="1" ht="15" customHeight="1" collapsed="1" x14ac:dyDescent="0.3">
      <c r="A153" s="11"/>
      <c r="B153" s="27" t="s">
        <v>291</v>
      </c>
      <c r="C153" s="11"/>
      <c r="D153" s="5">
        <f>SUM(OSRRefD25x_0)</f>
        <v>212140.37999999998</v>
      </c>
      <c r="E153" s="5"/>
      <c r="F153" s="13">
        <f t="shared" ref="F153:F158" si="36">IF(D$12=0,0,D153/D$12)</f>
        <v>0.24313196967418332</v>
      </c>
      <c r="G153" s="5"/>
      <c r="H153" s="5">
        <f>SUM(OSRRefH25x_0)</f>
        <v>212602.4</v>
      </c>
      <c r="I153" s="5"/>
      <c r="J153" s="13">
        <f t="shared" ref="J153:J158" si="37">IF(H$12=0,0,H153/H$12)</f>
        <v>0.32992098124778863</v>
      </c>
      <c r="K153" s="5"/>
      <c r="L153" s="5">
        <f t="shared" ref="L153:L158" si="38">+D153-H153</f>
        <v>-462.02000000001863</v>
      </c>
      <c r="M153" s="5"/>
      <c r="N153" s="13">
        <f t="shared" ref="N153:N158" si="39">IF(H153=0,0,L153/H153)</f>
        <v>-2.1731645550568507E-3</v>
      </c>
      <c r="O153" s="11"/>
      <c r="P153" s="5">
        <f>SUM(OSRRefP25x_0)</f>
        <v>728038.79999999993</v>
      </c>
      <c r="Q153" s="5"/>
      <c r="R153" s="13">
        <f t="shared" ref="R153:R158" si="40">IF(P$12=0,0,P153/P$12)</f>
        <v>0.13556364964789513</v>
      </c>
      <c r="S153" s="5"/>
      <c r="T153" s="5">
        <f>SUM(OSRRefT25x_0)</f>
        <v>642580.23</v>
      </c>
      <c r="U153" s="5"/>
      <c r="V153" s="13">
        <f t="shared" ref="V153:V158" si="41">IF(T$12=0,0,T153/T$12)</f>
        <v>8.2579923208332573E-2</v>
      </c>
      <c r="W153" s="5"/>
      <c r="X153" s="5">
        <f t="shared" ref="X153:X158" si="42">+P153-T153</f>
        <v>85458.569999999949</v>
      </c>
      <c r="Y153" s="5"/>
      <c r="Z153" s="13">
        <f t="shared" ref="Z153:Z158" si="43">IF(T153=0,0,X153/T153)</f>
        <v>0.13299284044266341</v>
      </c>
    </row>
    <row r="154" spans="1:26" s="70" customFormat="1" ht="15" hidden="1" customHeight="1" outlineLevel="1" x14ac:dyDescent="0.3">
      <c r="A154" s="42"/>
      <c r="B154" s="12" t="str">
        <f>CONCATENATE("          ","9150"," - ","MISC. INCOME")</f>
        <v xml:space="preserve">          9150 - MISC. INCOME</v>
      </c>
      <c r="C154" s="12"/>
      <c r="D154" s="3">
        <f>--59426.7</f>
        <v>59426.7</v>
      </c>
      <c r="E154" s="3"/>
      <c r="F154" s="20">
        <f t="shared" si="36"/>
        <v>6.8108347039996783E-2</v>
      </c>
      <c r="G154" s="3"/>
      <c r="H154" s="3">
        <v>5786</v>
      </c>
      <c r="I154" s="3"/>
      <c r="J154" s="20">
        <f t="shared" si="37"/>
        <v>8.9788393616426956E-3</v>
      </c>
      <c r="K154" s="3"/>
      <c r="L154" s="3">
        <f t="shared" si="38"/>
        <v>53640.7</v>
      </c>
      <c r="M154" s="3"/>
      <c r="N154" s="20">
        <f t="shared" si="39"/>
        <v>9.2707742827514679</v>
      </c>
      <c r="O154" s="12"/>
      <c r="P154" s="3">
        <f>--320633.77</f>
        <v>320633.77</v>
      </c>
      <c r="Q154" s="3"/>
      <c r="R154" s="20">
        <f t="shared" si="40"/>
        <v>5.9703252163983291E-2</v>
      </c>
      <c r="S154" s="3"/>
      <c r="T154" s="3">
        <v>127385</v>
      </c>
      <c r="U154" s="3"/>
      <c r="V154" s="20">
        <f t="shared" si="41"/>
        <v>1.6370630509272663E-2</v>
      </c>
      <c r="W154" s="3"/>
      <c r="X154" s="3">
        <f t="shared" si="42"/>
        <v>193248.77000000002</v>
      </c>
      <c r="Y154" s="3"/>
      <c r="Z154" s="20">
        <f t="shared" si="43"/>
        <v>1.5170449424971544</v>
      </c>
    </row>
    <row r="155" spans="1:26" s="70" customFormat="1" ht="15" hidden="1" customHeight="1" outlineLevel="1" x14ac:dyDescent="0.3">
      <c r="A155" s="42"/>
      <c r="B155" s="12" t="str">
        <f>CONCATENATE("          ","9151"," - ","MISC. INCOME")</f>
        <v xml:space="preserve">          9151 - MISC. INCOME</v>
      </c>
      <c r="C155" s="12"/>
      <c r="D155" s="3">
        <f>--152339.59</f>
        <v>152339.59</v>
      </c>
      <c r="E155" s="3"/>
      <c r="F155" s="20">
        <f t="shared" si="36"/>
        <v>0.17459488182333568</v>
      </c>
      <c r="G155" s="3"/>
      <c r="H155" s="3">
        <v>206816.4</v>
      </c>
      <c r="I155" s="3"/>
      <c r="J155" s="20">
        <f t="shared" si="37"/>
        <v>0.32094214188614595</v>
      </c>
      <c r="K155" s="3"/>
      <c r="L155" s="3">
        <f t="shared" si="38"/>
        <v>-54476.81</v>
      </c>
      <c r="M155" s="3"/>
      <c r="N155" s="20">
        <f t="shared" si="39"/>
        <v>-0.26340662539334403</v>
      </c>
      <c r="O155" s="12"/>
      <c r="P155" s="3">
        <f>--323761.7</f>
        <v>323761.7</v>
      </c>
      <c r="Q155" s="3"/>
      <c r="R155" s="20">
        <f t="shared" si="40"/>
        <v>6.0285684867629225E-2</v>
      </c>
      <c r="S155" s="3"/>
      <c r="T155" s="3">
        <v>456862.23</v>
      </c>
      <c r="U155" s="3"/>
      <c r="V155" s="20">
        <f t="shared" si="41"/>
        <v>5.8712742952249833E-2</v>
      </c>
      <c r="W155" s="3"/>
      <c r="X155" s="3">
        <f t="shared" si="42"/>
        <v>-133100.52999999997</v>
      </c>
      <c r="Y155" s="3"/>
      <c r="Z155" s="20">
        <f t="shared" si="43"/>
        <v>-0.29133625250658163</v>
      </c>
    </row>
    <row r="156" spans="1:26" s="70" customFormat="1" ht="15" hidden="1" customHeight="1" outlineLevel="1" x14ac:dyDescent="0.3">
      <c r="A156" s="42"/>
      <c r="B156" s="12" t="str">
        <f>CONCATENATE("          ","9152"," - ","MISC. INCOME")</f>
        <v xml:space="preserve">          9152 - MISC. INCOME</v>
      </c>
      <c r="C156" s="12"/>
      <c r="D156" s="3">
        <f>--374.09</f>
        <v>374.09</v>
      </c>
      <c r="E156" s="3"/>
      <c r="F156" s="20">
        <f t="shared" si="36"/>
        <v>4.2874081085088681E-4</v>
      </c>
      <c r="G156" s="3"/>
      <c r="H156" s="3"/>
      <c r="I156" s="3"/>
      <c r="J156" s="20">
        <f t="shared" si="37"/>
        <v>0</v>
      </c>
      <c r="K156" s="3"/>
      <c r="L156" s="3">
        <f t="shared" si="38"/>
        <v>374.09</v>
      </c>
      <c r="M156" s="3"/>
      <c r="N156" s="20">
        <f t="shared" si="39"/>
        <v>0</v>
      </c>
      <c r="O156" s="12"/>
      <c r="P156" s="3">
        <f>--3867.63</f>
        <v>3867.63</v>
      </c>
      <c r="Q156" s="3"/>
      <c r="R156" s="20">
        <f t="shared" si="40"/>
        <v>7.2016771398404698E-4</v>
      </c>
      <c r="S156" s="3"/>
      <c r="T156" s="3"/>
      <c r="U156" s="3"/>
      <c r="V156" s="20">
        <f t="shared" si="41"/>
        <v>0</v>
      </c>
      <c r="W156" s="3"/>
      <c r="X156" s="3">
        <f t="shared" si="42"/>
        <v>3867.63</v>
      </c>
      <c r="Y156" s="3"/>
      <c r="Z156" s="20">
        <f t="shared" si="43"/>
        <v>0</v>
      </c>
    </row>
    <row r="157" spans="1:26" s="70" customFormat="1" ht="15" hidden="1" customHeight="1" outlineLevel="1" x14ac:dyDescent="0.3">
      <c r="A157" s="42"/>
      <c r="B157" s="12" t="str">
        <f>CONCATENATE("          ","9160"," - ","MISC. INCOME")</f>
        <v xml:space="preserve">          9160 - MISC. INCOME</v>
      </c>
      <c r="C157" s="12"/>
      <c r="D157" s="3">
        <f>0</f>
        <v>0</v>
      </c>
      <c r="E157" s="3"/>
      <c r="F157" s="20">
        <f t="shared" si="36"/>
        <v>0</v>
      </c>
      <c r="G157" s="3"/>
      <c r="H157" s="3">
        <v>0</v>
      </c>
      <c r="I157" s="3"/>
      <c r="J157" s="20">
        <f t="shared" si="37"/>
        <v>0</v>
      </c>
      <c r="K157" s="3"/>
      <c r="L157" s="3">
        <f t="shared" si="38"/>
        <v>0</v>
      </c>
      <c r="M157" s="3"/>
      <c r="N157" s="20">
        <f t="shared" si="39"/>
        <v>0</v>
      </c>
      <c r="O157" s="12"/>
      <c r="P157" s="3">
        <f>0</f>
        <v>0</v>
      </c>
      <c r="Q157" s="3"/>
      <c r="R157" s="20">
        <f t="shared" si="40"/>
        <v>0</v>
      </c>
      <c r="S157" s="3"/>
      <c r="T157" s="3">
        <v>58333</v>
      </c>
      <c r="U157" s="3"/>
      <c r="V157" s="20">
        <f t="shared" si="41"/>
        <v>7.4965497468100824E-3</v>
      </c>
      <c r="W157" s="3"/>
      <c r="X157" s="3">
        <f t="shared" si="42"/>
        <v>-58333</v>
      </c>
      <c r="Y157" s="3"/>
      <c r="Z157" s="20">
        <f t="shared" si="43"/>
        <v>-1</v>
      </c>
    </row>
    <row r="158" spans="1:26" s="70" customFormat="1" ht="15" hidden="1" customHeight="1" outlineLevel="1" x14ac:dyDescent="0.3">
      <c r="A158" s="42"/>
      <c r="B158" s="12" t="str">
        <f>CONCATENATE("          ","9163"," - ","MISC. INCOME")</f>
        <v xml:space="preserve">          9163 - MISC. INCOME</v>
      </c>
      <c r="C158" s="12"/>
      <c r="D158" s="3">
        <f>0</f>
        <v>0</v>
      </c>
      <c r="E158" s="3"/>
      <c r="F158" s="20">
        <f t="shared" si="36"/>
        <v>0</v>
      </c>
      <c r="G158" s="3"/>
      <c r="H158" s="3"/>
      <c r="I158" s="3"/>
      <c r="J158" s="20">
        <f t="shared" si="37"/>
        <v>0</v>
      </c>
      <c r="K158" s="3"/>
      <c r="L158" s="3">
        <f t="shared" si="38"/>
        <v>0</v>
      </c>
      <c r="M158" s="3"/>
      <c r="N158" s="20">
        <f t="shared" si="39"/>
        <v>0</v>
      </c>
      <c r="O158" s="12"/>
      <c r="P158" s="3">
        <f>--79775.7</f>
        <v>79775.7</v>
      </c>
      <c r="Q158" s="3"/>
      <c r="R158" s="20">
        <f t="shared" si="40"/>
        <v>1.4854544902298599E-2</v>
      </c>
      <c r="S158" s="3"/>
      <c r="T158" s="3"/>
      <c r="U158" s="3"/>
      <c r="V158" s="20">
        <f t="shared" si="41"/>
        <v>0</v>
      </c>
      <c r="W158" s="3"/>
      <c r="X158" s="3">
        <f t="shared" si="42"/>
        <v>79775.7</v>
      </c>
      <c r="Y158" s="3"/>
      <c r="Z158" s="20">
        <f t="shared" si="43"/>
        <v>0</v>
      </c>
    </row>
    <row r="159" spans="1:26" ht="15" customHeight="1" x14ac:dyDescent="0.3">
      <c r="A159" s="10"/>
      <c r="B159" s="11"/>
      <c r="C159" s="11"/>
      <c r="D159" s="4"/>
      <c r="E159" s="4"/>
      <c r="F159" s="9"/>
      <c r="G159" s="4"/>
      <c r="H159" s="4"/>
      <c r="I159" s="4"/>
      <c r="J159" s="9"/>
      <c r="K159" s="4"/>
      <c r="L159" s="4"/>
      <c r="M159" s="4"/>
      <c r="N159" s="9"/>
      <c r="O159" s="11"/>
      <c r="P159" s="4"/>
      <c r="Q159" s="4"/>
      <c r="R159" s="9"/>
      <c r="S159" s="4"/>
      <c r="T159" s="4"/>
      <c r="U159" s="4"/>
      <c r="V159" s="9"/>
      <c r="W159" s="4"/>
      <c r="X159" s="4"/>
      <c r="Y159" s="4"/>
      <c r="Z159" s="9"/>
    </row>
    <row r="160" spans="1:26" s="63" customFormat="1" ht="15" customHeight="1" x14ac:dyDescent="0.3">
      <c r="A160" s="11"/>
      <c r="B160" s="28" t="s">
        <v>292</v>
      </c>
      <c r="C160" s="28"/>
      <c r="D160" s="21">
        <f>+D56-D58+D153</f>
        <v>275604.63999999978</v>
      </c>
      <c r="E160" s="15"/>
      <c r="F160" s="22">
        <f>IF(D$12=0,0,D160/D$12)</f>
        <v>0.31586772388427026</v>
      </c>
      <c r="G160" s="15"/>
      <c r="H160" s="21">
        <f>+H56-H58+H153</f>
        <v>143609.05931643714</v>
      </c>
      <c r="I160" s="15"/>
      <c r="J160" s="22">
        <f>IF(H$12=0,0,H160/H$12)</f>
        <v>0.22285562987882934</v>
      </c>
      <c r="K160" s="16"/>
      <c r="L160" s="21">
        <f>+D160-H160</f>
        <v>131995.58068356264</v>
      </c>
      <c r="M160" s="16"/>
      <c r="N160" s="22">
        <f>IF(H160=0,0,L160/H160)</f>
        <v>0.9191312951414532</v>
      </c>
      <c r="O160" s="27"/>
      <c r="P160" s="21">
        <f>+P56-P58+P153</f>
        <v>198809.08000000066</v>
      </c>
      <c r="Q160" s="15"/>
      <c r="R160" s="22">
        <f>IF(P$12=0,0,P160/P$12)</f>
        <v>3.7019022156429646E-2</v>
      </c>
      <c r="S160" s="15"/>
      <c r="T160" s="21">
        <f>+T56-T58+T153</f>
        <v>506856.18141241977</v>
      </c>
      <c r="U160" s="15"/>
      <c r="V160" s="22">
        <f>IF(T$12=0,0,T160/T$12)</f>
        <v>6.5137616416717822E-2</v>
      </c>
      <c r="W160" s="16"/>
      <c r="X160" s="21">
        <f>+P160-T160</f>
        <v>-308047.10141241911</v>
      </c>
      <c r="Y160" s="16"/>
      <c r="Z160" s="22">
        <f>IF(T160=0,0,X160/T160)</f>
        <v>-0.60776037209215117</v>
      </c>
    </row>
    <row r="161" spans="1:26" ht="15" customHeight="1" x14ac:dyDescent="0.3">
      <c r="A161" s="10"/>
      <c r="B161" s="11"/>
      <c r="C161" s="10"/>
      <c r="D161" s="4"/>
      <c r="E161" s="4"/>
      <c r="F161" s="9"/>
      <c r="G161" s="4"/>
      <c r="H161" s="4"/>
      <c r="I161" s="4"/>
      <c r="J161" s="9"/>
      <c r="K161" s="4"/>
      <c r="L161" s="4"/>
      <c r="M161" s="4"/>
      <c r="N161" s="9"/>
      <c r="P161" s="4"/>
      <c r="Q161" s="4"/>
      <c r="R161" s="9"/>
      <c r="S161" s="4"/>
      <c r="T161" s="4"/>
      <c r="U161" s="4"/>
      <c r="V161" s="9"/>
      <c r="W161" s="4"/>
      <c r="X161" s="4"/>
      <c r="Y161" s="4"/>
      <c r="Z161" s="9"/>
    </row>
    <row r="162" spans="1:26" s="63" customFormat="1" ht="15" customHeight="1" x14ac:dyDescent="0.3">
      <c r="A162" s="49"/>
      <c r="B162" s="11" t="s">
        <v>293</v>
      </c>
      <c r="C162" s="11"/>
      <c r="D162" s="5">
        <v>74976.38</v>
      </c>
      <c r="E162" s="5"/>
      <c r="F162" s="13">
        <f>IF(D$12=0,0,D162/D$12)</f>
        <v>8.5929679905542025E-2</v>
      </c>
      <c r="G162" s="5"/>
      <c r="H162" s="5">
        <v>57018</v>
      </c>
      <c r="I162" s="5"/>
      <c r="J162" s="13">
        <f>IF(H$12=0,0,H162/H$12)</f>
        <v>8.8481759889758593E-2</v>
      </c>
      <c r="K162" s="5"/>
      <c r="L162" s="5">
        <f>+D162-H162</f>
        <v>17958.380000000005</v>
      </c>
      <c r="M162" s="5"/>
      <c r="N162" s="13">
        <f>IF(H162=0,0,L162/H162)</f>
        <v>0.31495983724437904</v>
      </c>
      <c r="O162" s="11"/>
      <c r="P162" s="5">
        <v>670355.03</v>
      </c>
      <c r="Q162" s="5"/>
      <c r="R162" s="13">
        <f>IF(P$12=0,0,P162/P$12)</f>
        <v>0.12482270783730792</v>
      </c>
      <c r="S162" s="5"/>
      <c r="T162" s="5">
        <v>951247</v>
      </c>
      <c r="U162" s="5"/>
      <c r="V162" s="13">
        <f>IF(T$12=0,0,T162/T$12)</f>
        <v>0.12224762067789845</v>
      </c>
      <c r="W162" s="5"/>
      <c r="X162" s="5">
        <f>+P162-T162</f>
        <v>-280891.96999999997</v>
      </c>
      <c r="Y162" s="5"/>
      <c r="Z162" s="13">
        <f>IF(T162=0,0,X162/T162)</f>
        <v>-0.29528815333977398</v>
      </c>
    </row>
    <row r="163" spans="1:26" ht="15" customHeight="1" x14ac:dyDescent="0.3">
      <c r="A163" s="10"/>
      <c r="B163" s="11"/>
      <c r="C163" s="11"/>
      <c r="D163" s="4"/>
      <c r="E163" s="4"/>
      <c r="F163" s="9"/>
      <c r="G163" s="4"/>
      <c r="H163" s="4"/>
      <c r="I163" s="4"/>
      <c r="J163" s="9"/>
      <c r="K163" s="4"/>
      <c r="L163" s="4"/>
      <c r="M163" s="4"/>
      <c r="N163" s="9"/>
      <c r="O163" s="11"/>
      <c r="P163" s="4"/>
      <c r="Q163" s="4"/>
      <c r="R163" s="9"/>
      <c r="S163" s="4"/>
      <c r="T163" s="4"/>
      <c r="U163" s="4"/>
      <c r="V163" s="9"/>
      <c r="W163" s="4"/>
      <c r="X163" s="4"/>
      <c r="Y163" s="4"/>
      <c r="Z163" s="9"/>
    </row>
    <row r="164" spans="1:26" s="63" customFormat="1" ht="15" customHeight="1" x14ac:dyDescent="0.3">
      <c r="A164" s="11"/>
      <c r="B164" s="28" t="s">
        <v>294</v>
      </c>
      <c r="C164" s="28"/>
      <c r="D164" s="33">
        <f>+D160-D162</f>
        <v>200628.25999999978</v>
      </c>
      <c r="E164" s="15"/>
      <c r="F164" s="32">
        <f>IF(D$12=0,0,D164/D$12)</f>
        <v>0.22993804397872825</v>
      </c>
      <c r="G164" s="15"/>
      <c r="H164" s="33">
        <f>+H160-H162</f>
        <v>86591.059316437138</v>
      </c>
      <c r="I164" s="15"/>
      <c r="J164" s="32">
        <f>IF(H$12=0,0,H164/H$12)</f>
        <v>0.13437386998907075</v>
      </c>
      <c r="K164" s="16"/>
      <c r="L164" s="33">
        <f>D164-H164</f>
        <v>114037.20068356264</v>
      </c>
      <c r="M164" s="16"/>
      <c r="N164" s="32">
        <f>IF(H164=0,0,L164/H164)</f>
        <v>1.3169627624813631</v>
      </c>
      <c r="O164" s="27"/>
      <c r="P164" s="33">
        <f>+P160-P162</f>
        <v>-471545.94999999937</v>
      </c>
      <c r="Q164" s="15"/>
      <c r="R164" s="32">
        <f>IF(P$12=0,0,P164/P$12)</f>
        <v>-8.7803685680878277E-2</v>
      </c>
      <c r="S164" s="15"/>
      <c r="T164" s="33">
        <f>+T160-T162</f>
        <v>-444390.81858758023</v>
      </c>
      <c r="U164" s="15"/>
      <c r="V164" s="32">
        <f>IF(T$12=0,0,T164/T$12)</f>
        <v>-5.7110004261180632E-2</v>
      </c>
      <c r="W164" s="16"/>
      <c r="X164" s="33">
        <f>P164-T164</f>
        <v>-27155.131412419141</v>
      </c>
      <c r="Y164" s="16"/>
      <c r="Z164" s="32">
        <f>IF(T164=0,0,X164/T164)</f>
        <v>6.1106418667080151E-2</v>
      </c>
    </row>
    <row r="165" spans="1:26" ht="15" customHeight="1" x14ac:dyDescent="0.3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ht="15" customHeight="1" x14ac:dyDescent="0.3">
      <c r="A166" s="10"/>
      <c r="B166" s="10"/>
      <c r="C166" s="10"/>
      <c r="D166" s="4"/>
      <c r="E166" s="4"/>
      <c r="F166" s="9"/>
      <c r="G166" s="4"/>
      <c r="H166" s="4"/>
      <c r="I166" s="4"/>
      <c r="J166" s="9"/>
      <c r="K166" s="4"/>
      <c r="L166" s="4"/>
      <c r="M166" s="4"/>
      <c r="N166" s="9"/>
      <c r="P166" s="4"/>
      <c r="Q166" s="4"/>
      <c r="R166" s="9"/>
      <c r="S166" s="4"/>
      <c r="T166" s="4"/>
      <c r="U166" s="4"/>
      <c r="V166" s="9"/>
      <c r="W166" s="4"/>
      <c r="X166" s="4"/>
      <c r="Y166" s="4"/>
      <c r="Z166" s="9"/>
    </row>
    <row r="167" spans="1:26" s="63" customFormat="1" ht="15" customHeight="1" x14ac:dyDescent="0.3">
      <c r="A167" s="11"/>
      <c r="B167" s="28" t="s">
        <v>297</v>
      </c>
      <c r="C167" s="28"/>
      <c r="D167" s="34">
        <f>SUM(D164:D166)</f>
        <v>200628.25999999978</v>
      </c>
      <c r="E167" s="15"/>
      <c r="F167" s="30">
        <f>IF(D$12=0,0,D167/D$12)</f>
        <v>0.22993804397872825</v>
      </c>
      <c r="G167" s="15"/>
      <c r="H167" s="34">
        <f>SUM(H164:H166)</f>
        <v>86591.059316437138</v>
      </c>
      <c r="I167" s="15"/>
      <c r="J167" s="30">
        <f>IF(H$12=0,0,H167/H$12)</f>
        <v>0.13437386998907075</v>
      </c>
      <c r="K167" s="16"/>
      <c r="L167" s="34">
        <f>+D167-H167</f>
        <v>114037.20068356264</v>
      </c>
      <c r="M167" s="16"/>
      <c r="N167" s="30">
        <f>IF(H167=0,0,L167/H167)</f>
        <v>1.3169627624813631</v>
      </c>
      <c r="O167" s="27"/>
      <c r="P167" s="34">
        <f>SUM(P164:P166)</f>
        <v>-471545.94999999937</v>
      </c>
      <c r="Q167" s="15"/>
      <c r="R167" s="30">
        <f>IF(P$12=0,0,P167/P$12)</f>
        <v>-8.7803685680878277E-2</v>
      </c>
      <c r="S167" s="15"/>
      <c r="T167" s="34">
        <f>SUM(T164:T166)</f>
        <v>-444390.81858758023</v>
      </c>
      <c r="U167" s="15"/>
      <c r="V167" s="30">
        <f>IF(T$12=0,0,T167/T$12)</f>
        <v>-5.7110004261180632E-2</v>
      </c>
      <c r="W167" s="16"/>
      <c r="X167" s="34">
        <f>+P167-T167</f>
        <v>-27155.131412419141</v>
      </c>
      <c r="Y167" s="16"/>
      <c r="Z167" s="30">
        <f>IF(T167=0,0,X167/T167)</f>
        <v>6.1106418667080151E-2</v>
      </c>
    </row>
    <row r="168" spans="1:26" ht="15" customHeight="1" x14ac:dyDescent="0.3">
      <c r="A168" s="10"/>
      <c r="C168" s="10"/>
      <c r="D168" s="19"/>
      <c r="E168" s="19"/>
      <c r="G168" s="19"/>
      <c r="H168" s="19"/>
      <c r="I168" s="19"/>
      <c r="J168" s="41"/>
      <c r="K168" s="19"/>
      <c r="L168" s="19"/>
      <c r="M168" s="19"/>
      <c r="P168" s="19"/>
      <c r="Q168" s="19"/>
      <c r="R168" s="41"/>
      <c r="S168" s="19"/>
      <c r="T168" s="19"/>
      <c r="U168" s="19"/>
      <c r="V168" s="41"/>
      <c r="W168" s="19"/>
      <c r="X168" s="19"/>
    </row>
    <row r="169" spans="1:26" ht="15" customHeight="1" x14ac:dyDescent="0.3">
      <c r="A169" s="10"/>
      <c r="B169" s="57">
        <v>44634.883417013887</v>
      </c>
      <c r="D169" s="19"/>
      <c r="E169" s="19"/>
      <c r="G169" s="19"/>
      <c r="H169" s="19"/>
      <c r="I169" s="19"/>
      <c r="J169" s="41"/>
      <c r="K169" s="19"/>
      <c r="L169" s="19"/>
      <c r="M169" s="19"/>
      <c r="P169" s="19"/>
      <c r="Q169" s="19"/>
      <c r="R169" s="41"/>
      <c r="S169" s="19"/>
      <c r="T169" s="19"/>
      <c r="U169" s="19"/>
      <c r="V169" s="41"/>
      <c r="W169" s="19"/>
      <c r="X169" s="19"/>
    </row>
    <row r="170" spans="1:26" ht="15" customHeight="1" x14ac:dyDescent="0.3">
      <c r="A170" s="10"/>
      <c r="B170" s="56" t="s">
        <v>298</v>
      </c>
      <c r="D170" s="19"/>
      <c r="E170" s="19"/>
      <c r="G170" s="19"/>
      <c r="H170" s="19"/>
      <c r="I170" s="19"/>
      <c r="J170" s="41"/>
      <c r="K170" s="19"/>
      <c r="L170" s="19"/>
      <c r="M170" s="19"/>
      <c r="P170" s="19"/>
      <c r="Q170" s="19"/>
      <c r="R170" s="41"/>
      <c r="S170" s="19"/>
      <c r="T170" s="19"/>
      <c r="U170" s="19"/>
      <c r="V170" s="41"/>
      <c r="W170" s="19"/>
      <c r="X170" s="19"/>
    </row>
    <row r="171" spans="1:26" ht="15" customHeight="1" x14ac:dyDescent="0.3">
      <c r="A171" s="10"/>
      <c r="B171" s="54"/>
      <c r="D171" s="19"/>
      <c r="E171" s="19"/>
      <c r="G171" s="19"/>
      <c r="H171" s="19"/>
      <c r="I171" s="19"/>
      <c r="J171" s="41"/>
      <c r="K171" s="19"/>
      <c r="L171" s="19"/>
      <c r="M171" s="19"/>
      <c r="P171" s="19"/>
      <c r="Q171" s="19"/>
      <c r="R171" s="41"/>
      <c r="S171" s="19"/>
      <c r="T171" s="19"/>
      <c r="U171" s="19"/>
      <c r="V171" s="41"/>
      <c r="W171" s="19"/>
      <c r="X171" s="19"/>
    </row>
    <row r="172" spans="1:26" ht="15" customHeight="1" x14ac:dyDescent="0.3">
      <c r="D172" s="19"/>
      <c r="E172" s="19"/>
      <c r="G172" s="19"/>
      <c r="H172" s="19"/>
      <c r="I172" s="19"/>
      <c r="J172" s="41"/>
      <c r="K172" s="19"/>
      <c r="L172" s="19"/>
      <c r="M172" s="19"/>
      <c r="P172" s="19"/>
      <c r="Q172" s="19"/>
      <c r="R172" s="41"/>
      <c r="S172" s="19"/>
      <c r="T172" s="19"/>
      <c r="U172" s="19"/>
      <c r="V172" s="41"/>
      <c r="W172" s="19"/>
      <c r="X172" s="19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7C43D-0D0E-0A2D-5F92-C5523A75B4A3}">
  <sheetPr>
    <tabColor rgb="FFFFFF00"/>
    <outlinePr summaryBelow="0" summaryRight="0"/>
  </sheetPr>
  <dimension ref="A2:Z163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302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778665.85999999987</v>
      </c>
      <c r="E12" s="5"/>
      <c r="F12" s="13"/>
      <c r="G12" s="5"/>
      <c r="H12" s="5">
        <f>SUM(OSRRefH13x_0)</f>
        <v>547822</v>
      </c>
      <c r="I12" s="5"/>
      <c r="J12" s="13"/>
      <c r="K12" s="5"/>
      <c r="L12" s="5">
        <f t="shared" ref="L12:L19" si="0">+D12-H12</f>
        <v>230843.85999999987</v>
      </c>
      <c r="M12" s="5"/>
      <c r="N12" s="13">
        <f t="shared" ref="N12:N19" si="1">IF(H12=0,0,L12/H12)</f>
        <v>0.42138479287067676</v>
      </c>
      <c r="O12" s="11"/>
      <c r="P12" s="5">
        <f>SUM(OSRRefP13x_0)</f>
        <v>5195350.4400000004</v>
      </c>
      <c r="Q12" s="5"/>
      <c r="R12" s="13"/>
      <c r="S12" s="5"/>
      <c r="T12" s="5">
        <f>SUM(OSRRefT13x_0)</f>
        <v>7495732</v>
      </c>
      <c r="U12" s="5"/>
      <c r="V12" s="13"/>
      <c r="W12" s="5"/>
      <c r="X12" s="5">
        <f t="shared" ref="X12:X19" si="2">+P12-T12</f>
        <v>-2300381.5599999996</v>
      </c>
      <c r="Y12" s="5"/>
      <c r="Z12" s="13">
        <f t="shared" ref="Z12:Z19" si="3">IF(T12=0,0,X12/T12)</f>
        <v>-0.30689218344519248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--665816.07</f>
        <v>665816.06999999995</v>
      </c>
      <c r="E13" s="3"/>
      <c r="F13" s="20"/>
      <c r="G13" s="3"/>
      <c r="H13" s="3">
        <v>494789</v>
      </c>
      <c r="I13" s="3"/>
      <c r="J13" s="20"/>
      <c r="K13" s="3"/>
      <c r="L13" s="3">
        <f t="shared" si="0"/>
        <v>171027.06999999995</v>
      </c>
      <c r="M13" s="3"/>
      <c r="N13" s="20">
        <f t="shared" si="1"/>
        <v>0.34565657280173961</v>
      </c>
      <c r="O13" s="12"/>
      <c r="P13" s="3">
        <f>--4436507.41</f>
        <v>4436507.41</v>
      </c>
      <c r="Q13" s="3"/>
      <c r="R13" s="20"/>
      <c r="S13" s="3"/>
      <c r="T13" s="3">
        <v>7259027</v>
      </c>
      <c r="U13" s="3"/>
      <c r="V13" s="20"/>
      <c r="W13" s="3"/>
      <c r="X13" s="3">
        <f t="shared" si="2"/>
        <v>-2822519.59</v>
      </c>
      <c r="Y13" s="3"/>
      <c r="Z13" s="20">
        <f t="shared" si="3"/>
        <v>-0.38882891467410163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--146600.36</f>
        <v>146600.35999999999</v>
      </c>
      <c r="E14" s="3"/>
      <c r="F14" s="20"/>
      <c r="G14" s="3"/>
      <c r="H14" s="3">
        <v>53033</v>
      </c>
      <c r="I14" s="3"/>
      <c r="J14" s="20"/>
      <c r="K14" s="3"/>
      <c r="L14" s="3">
        <f t="shared" si="0"/>
        <v>93567.359999999986</v>
      </c>
      <c r="M14" s="3"/>
      <c r="N14" s="20">
        <f t="shared" si="1"/>
        <v>1.7643233458412684</v>
      </c>
      <c r="O14" s="12"/>
      <c r="P14" s="3">
        <f>--1004150.66</f>
        <v>1004150.66</v>
      </c>
      <c r="Q14" s="3"/>
      <c r="R14" s="20"/>
      <c r="S14" s="3"/>
      <c r="T14" s="3">
        <v>236705</v>
      </c>
      <c r="U14" s="3"/>
      <c r="V14" s="20"/>
      <c r="W14" s="3"/>
      <c r="X14" s="3">
        <f t="shared" si="2"/>
        <v>767445.66</v>
      </c>
      <c r="Y14" s="3"/>
      <c r="Z14" s="20">
        <f t="shared" si="3"/>
        <v>3.2422029952894955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-18404.3</f>
        <v>-18404.3</v>
      </c>
      <c r="E17" s="3"/>
      <c r="F17" s="20"/>
      <c r="G17" s="3"/>
      <c r="H17" s="3"/>
      <c r="I17" s="3"/>
      <c r="J17" s="20"/>
      <c r="K17" s="3"/>
      <c r="L17" s="3">
        <f t="shared" si="0"/>
        <v>-18404.3</v>
      </c>
      <c r="M17" s="3"/>
      <c r="N17" s="20">
        <f t="shared" si="1"/>
        <v>0</v>
      </c>
      <c r="O17" s="12"/>
      <c r="P17" s="3">
        <f>-131513.33</f>
        <v>-131513.32999999999</v>
      </c>
      <c r="Q17" s="3"/>
      <c r="R17" s="20"/>
      <c r="S17" s="3"/>
      <c r="T17" s="3"/>
      <c r="U17" s="3"/>
      <c r="V17" s="20"/>
      <c r="W17" s="3"/>
      <c r="X17" s="3">
        <f t="shared" si="2"/>
        <v>-131513.32999999999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","4300"," - ","NON-TAX RETURNS")</f>
        <v xml:space="preserve">          4300 - NON-TAX RETURNS</v>
      </c>
      <c r="C18" s="12"/>
      <c r="D18" s="3">
        <f>-3193.12</f>
        <v>-3193.12</v>
      </c>
      <c r="E18" s="3"/>
      <c r="F18" s="20"/>
      <c r="G18" s="3"/>
      <c r="H18" s="3"/>
      <c r="I18" s="3"/>
      <c r="J18" s="20"/>
      <c r="K18" s="3"/>
      <c r="L18" s="3">
        <f t="shared" si="0"/>
        <v>-3193.12</v>
      </c>
      <c r="M18" s="3"/>
      <c r="N18" s="20">
        <f t="shared" si="1"/>
        <v>0</v>
      </c>
      <c r="O18" s="12"/>
      <c r="P18" s="3">
        <f>-31247.2</f>
        <v>-31247.200000000001</v>
      </c>
      <c r="Q18" s="3"/>
      <c r="R18" s="20"/>
      <c r="S18" s="3"/>
      <c r="T18" s="3"/>
      <c r="U18" s="3"/>
      <c r="V18" s="20"/>
      <c r="W18" s="3"/>
      <c r="X18" s="3">
        <f t="shared" si="2"/>
        <v>-31247.200000000001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","4500"," - ","SALES DISCOUNT")</f>
        <v xml:space="preserve">          4500 - SALES DISCOUNT</v>
      </c>
      <c r="C19" s="12"/>
      <c r="D19" s="3">
        <f>-12153.15</f>
        <v>-12153.15</v>
      </c>
      <c r="E19" s="3"/>
      <c r="F19" s="20"/>
      <c r="G19" s="3"/>
      <c r="H19" s="3"/>
      <c r="I19" s="3"/>
      <c r="J19" s="20"/>
      <c r="K19" s="3"/>
      <c r="L19" s="3">
        <f t="shared" si="0"/>
        <v>-12153.15</v>
      </c>
      <c r="M19" s="3"/>
      <c r="N19" s="20">
        <f t="shared" si="1"/>
        <v>0</v>
      </c>
      <c r="O19" s="12"/>
      <c r="P19" s="3">
        <f>-82547.1</f>
        <v>-82547.100000000006</v>
      </c>
      <c r="Q19" s="3"/>
      <c r="R19" s="20"/>
      <c r="S19" s="3"/>
      <c r="T19" s="3"/>
      <c r="U19" s="3"/>
      <c r="V19" s="20"/>
      <c r="W19" s="3"/>
      <c r="X19" s="3">
        <f t="shared" si="2"/>
        <v>-82547.100000000006</v>
      </c>
      <c r="Y19" s="3"/>
      <c r="Z19" s="20">
        <f t="shared" si="3"/>
        <v>0</v>
      </c>
    </row>
    <row r="20" spans="1:26" ht="15" customHeight="1" x14ac:dyDescent="0.3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3">
      <c r="A21" s="11"/>
      <c r="B21" s="27" t="s">
        <v>288</v>
      </c>
      <c r="C21" s="11"/>
      <c r="D21" s="5">
        <f>SUM(OSRRefD16x_0)</f>
        <v>396795.93</v>
      </c>
      <c r="E21" s="5"/>
      <c r="F21" s="13">
        <f t="shared" ref="F21:F48" si="4">IF(D$12=0,0,D21/D$12)</f>
        <v>0.50958434212076542</v>
      </c>
      <c r="G21" s="5"/>
      <c r="H21" s="5">
        <f>SUM(OSRRefH16x_0)</f>
        <v>298117</v>
      </c>
      <c r="I21" s="5"/>
      <c r="J21" s="13">
        <f t="shared" ref="J21:J48" si="5">IF(H$12=0,0,H21/H$12)</f>
        <v>0.54418588519628641</v>
      </c>
      <c r="K21" s="5"/>
      <c r="L21" s="5">
        <f t="shared" ref="L21:L48" si="6">+D21-H21</f>
        <v>98678.93</v>
      </c>
      <c r="M21" s="5"/>
      <c r="N21" s="13">
        <f t="shared" ref="N21:N48" si="7">IF(H21=0,0,L21/H21)</f>
        <v>0.33100738971611815</v>
      </c>
      <c r="O21" s="11"/>
      <c r="P21" s="5">
        <f>SUM(OSRRefP16x_0)</f>
        <v>3060272.6399999997</v>
      </c>
      <c r="Q21" s="5"/>
      <c r="R21" s="13">
        <f t="shared" ref="R21:R48" si="8">IF(P$12=0,0,P21/P$12)</f>
        <v>0.58904065766928315</v>
      </c>
      <c r="S21" s="5"/>
      <c r="T21" s="5">
        <f>SUM(OSRRefT16x_0)</f>
        <v>4705833</v>
      </c>
      <c r="U21" s="5"/>
      <c r="V21" s="13">
        <f t="shared" ref="V21:V48" si="9">IF(T$12=0,0,T21/T$12)</f>
        <v>0.62780166099855228</v>
      </c>
      <c r="W21" s="5"/>
      <c r="X21" s="5">
        <f t="shared" ref="X21:X48" si="10">+P21-T21</f>
        <v>-1645560.3600000003</v>
      </c>
      <c r="Y21" s="5"/>
      <c r="Z21" s="13">
        <f t="shared" ref="Z21:Z48" si="11">IF(T21=0,0,X21/T21)</f>
        <v>-0.34968524382399468</v>
      </c>
    </row>
    <row r="22" spans="1:26" s="70" customFormat="1" ht="15" hidden="1" customHeight="1" outlineLevel="1" x14ac:dyDescent="0.3">
      <c r="A22" s="42"/>
      <c r="B22" s="12" t="str">
        <f>CONCATENATE("          ","5000"," - ","PURCHASES @ COST")</f>
        <v xml:space="preserve">          5000 - PURCHASES @ COST</v>
      </c>
      <c r="C22" s="12"/>
      <c r="D22" s="3">
        <v>391111.63</v>
      </c>
      <c r="E22" s="3"/>
      <c r="F22" s="20">
        <f t="shared" si="4"/>
        <v>0.50228429174999412</v>
      </c>
      <c r="G22" s="3"/>
      <c r="H22" s="3">
        <v>298117</v>
      </c>
      <c r="I22" s="3"/>
      <c r="J22" s="20">
        <f t="shared" si="5"/>
        <v>0.54418588519628641</v>
      </c>
      <c r="K22" s="3"/>
      <c r="L22" s="3">
        <f t="shared" si="6"/>
        <v>92994.63</v>
      </c>
      <c r="M22" s="3"/>
      <c r="N22" s="20">
        <f t="shared" si="7"/>
        <v>0.31194004367412798</v>
      </c>
      <c r="O22" s="12"/>
      <c r="P22" s="3">
        <v>3411369.97</v>
      </c>
      <c r="Q22" s="3"/>
      <c r="R22" s="20">
        <f t="shared" si="8"/>
        <v>0.65661980060771419</v>
      </c>
      <c r="S22" s="3"/>
      <c r="T22" s="3">
        <v>4705833</v>
      </c>
      <c r="U22" s="3"/>
      <c r="V22" s="20">
        <f t="shared" si="9"/>
        <v>0.62780166099855228</v>
      </c>
      <c r="W22" s="3"/>
      <c r="X22" s="3">
        <f t="shared" si="10"/>
        <v>-1294463.0299999998</v>
      </c>
      <c r="Y22" s="3"/>
      <c r="Z22" s="20">
        <f t="shared" si="11"/>
        <v>-0.2750762787374732</v>
      </c>
    </row>
    <row r="23" spans="1:26" s="70" customFormat="1" ht="15" hidden="1" customHeight="1" outlineLevel="1" x14ac:dyDescent="0.3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","5200"," - ","PURCHASES OFFSET")</f>
        <v xml:space="preserve">          5200 - PURCHASES OFFSET</v>
      </c>
      <c r="C36" s="12"/>
      <c r="D36" s="3">
        <v>-388061.48</v>
      </c>
      <c r="E36" s="3"/>
      <c r="F36" s="20">
        <f t="shared" si="4"/>
        <v>-0.49836714300020812</v>
      </c>
      <c r="G36" s="3"/>
      <c r="H36" s="3"/>
      <c r="I36" s="3"/>
      <c r="J36" s="20">
        <f t="shared" si="5"/>
        <v>0</v>
      </c>
      <c r="K36" s="3"/>
      <c r="L36" s="3">
        <f t="shared" si="6"/>
        <v>-388061.48</v>
      </c>
      <c r="M36" s="3"/>
      <c r="N36" s="20">
        <f t="shared" si="7"/>
        <v>0</v>
      </c>
      <c r="O36" s="12"/>
      <c r="P36" s="3">
        <v>-3212045.64</v>
      </c>
      <c r="Q36" s="3"/>
      <c r="R36" s="20">
        <f t="shared" si="8"/>
        <v>-0.61825389395676644</v>
      </c>
      <c r="S36" s="3"/>
      <c r="T36" s="3"/>
      <c r="U36" s="3"/>
      <c r="V36" s="20">
        <f t="shared" si="9"/>
        <v>0</v>
      </c>
      <c r="W36" s="3"/>
      <c r="X36" s="3">
        <f t="shared" si="10"/>
        <v>-3212045.64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","5300"," - ","COG$ OFFSET")</f>
        <v xml:space="preserve">          5300 - COG$ OFFSET</v>
      </c>
      <c r="C37" s="12"/>
      <c r="D37" s="3">
        <v>362141.86</v>
      </c>
      <c r="E37" s="3"/>
      <c r="F37" s="20">
        <f t="shared" si="4"/>
        <v>0.4650799252968405</v>
      </c>
      <c r="G37" s="3"/>
      <c r="H37" s="3"/>
      <c r="I37" s="3"/>
      <c r="J37" s="20">
        <f t="shared" si="5"/>
        <v>0</v>
      </c>
      <c r="K37" s="3"/>
      <c r="L37" s="3">
        <f t="shared" si="6"/>
        <v>362141.86</v>
      </c>
      <c r="M37" s="3"/>
      <c r="N37" s="20">
        <f t="shared" si="7"/>
        <v>0</v>
      </c>
      <c r="O37" s="12"/>
      <c r="P37" s="3">
        <v>2737158.53</v>
      </c>
      <c r="Q37" s="3"/>
      <c r="R37" s="20">
        <f t="shared" si="8"/>
        <v>0.52684771924644214</v>
      </c>
      <c r="S37" s="3"/>
      <c r="T37" s="3"/>
      <c r="U37" s="3"/>
      <c r="V37" s="20">
        <f t="shared" si="9"/>
        <v>0</v>
      </c>
      <c r="W37" s="3"/>
      <c r="X37" s="3">
        <f t="shared" si="10"/>
        <v>2737158.53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","5500"," - ","FREIGHT-IN")</f>
        <v xml:space="preserve">          5500 - FREIGHT-IN</v>
      </c>
      <c r="C38" s="12"/>
      <c r="D38" s="3">
        <v>31603.919999999998</v>
      </c>
      <c r="E38" s="3"/>
      <c r="F38" s="20">
        <f t="shared" si="4"/>
        <v>4.0587268074139017E-2</v>
      </c>
      <c r="G38" s="3"/>
      <c r="H38" s="3"/>
      <c r="I38" s="3"/>
      <c r="J38" s="20">
        <f t="shared" si="5"/>
        <v>0</v>
      </c>
      <c r="K38" s="3"/>
      <c r="L38" s="3">
        <f t="shared" si="6"/>
        <v>31603.919999999998</v>
      </c>
      <c r="M38" s="3"/>
      <c r="N38" s="20">
        <f t="shared" si="7"/>
        <v>0</v>
      </c>
      <c r="O38" s="12"/>
      <c r="P38" s="3">
        <v>123789.78</v>
      </c>
      <c r="Q38" s="3"/>
      <c r="R38" s="20">
        <f t="shared" si="8"/>
        <v>2.3827031771893329E-2</v>
      </c>
      <c r="S38" s="3"/>
      <c r="T38" s="3"/>
      <c r="U38" s="3"/>
      <c r="V38" s="20">
        <f t="shared" si="9"/>
        <v>0</v>
      </c>
      <c r="W38" s="3"/>
      <c r="X38" s="3">
        <f t="shared" si="10"/>
        <v>123789.78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","5501"," - ","FREIGHT-IN-NEW TEXT")</f>
        <v xml:space="preserve">          5501 - FREIGHT-IN-NEW TEXT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","5502"," - ","FREIGHT-IN-USED TEXT")</f>
        <v xml:space="preserve">          5502 - FREIGHT-IN-USED TEXT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","5518"," - ","FREIGHT-IN-STUDY GUIDES")</f>
        <v xml:space="preserve">          5518 - FREIGHT-IN-STUDY GUIDES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>
        <v>0</v>
      </c>
      <c r="Q41" s="3"/>
      <c r="R41" s="20">
        <f t="shared" si="8"/>
        <v>0</v>
      </c>
      <c r="S41" s="3"/>
      <c r="T41" s="3"/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","5527"," - ","FREIGHT-IN-SCHOOL SUPPLIES")</f>
        <v xml:space="preserve">          5527 - FREIGHT-IN-SCHOOL SUPPLIES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>
        <v>0</v>
      </c>
      <c r="Q42" s="3"/>
      <c r="R42" s="20">
        <f t="shared" si="8"/>
        <v>0</v>
      </c>
      <c r="S42" s="3"/>
      <c r="T42" s="3"/>
      <c r="U42" s="3"/>
      <c r="V42" s="20">
        <f t="shared" si="9"/>
        <v>0</v>
      </c>
      <c r="W42" s="3"/>
      <c r="X42" s="3">
        <f t="shared" si="10"/>
        <v>0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","5528"," - ","FREIGHT-IN-ART/TECH")</f>
        <v xml:space="preserve">          5528 - FREIGHT-IN-ART/TECH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>
        <v>0</v>
      </c>
      <c r="Q43" s="3"/>
      <c r="R43" s="20">
        <f t="shared" si="8"/>
        <v>0</v>
      </c>
      <c r="S43" s="3"/>
      <c r="T43" s="3"/>
      <c r="U43" s="3"/>
      <c r="V43" s="20">
        <f t="shared" si="9"/>
        <v>0</v>
      </c>
      <c r="W43" s="3"/>
      <c r="X43" s="3">
        <f t="shared" si="10"/>
        <v>0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","5540"," - ","FREIGHT-IN-LOGO CLOTHING")</f>
        <v xml:space="preserve">          5540 - FREIGHT-IN-LOGO CLOTHING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","5541"," - ","FREIGHT-IN-LOGO GIFTS")</f>
        <v xml:space="preserve">          5541 - FREIGHT-IN-LOGO GIFTS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","5542"," - ","FREIGHT-IN-EVERYDAY GIFTS")</f>
        <v xml:space="preserve">          5542 - FREIGHT-IN-EVERYDAY GIFTS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","5544"," - ","FREIGHT-IN-ACCESSORIES")</f>
        <v xml:space="preserve">          5544 - FREIGHT-IN-ACCESSORIES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","5545"," - ","FREIGHT-IN-SPECIAL ORDERS")</f>
        <v xml:space="preserve">          5545 - FREIGHT-IN-SPECIAL ORDERS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3" customFormat="1" ht="15" customHeight="1" x14ac:dyDescent="0.3">
      <c r="A50" s="11"/>
      <c r="B50" s="28" t="s">
        <v>289</v>
      </c>
      <c r="C50" s="28"/>
      <c r="D50" s="21">
        <f>D12-D21</f>
        <v>381869.92999999988</v>
      </c>
      <c r="E50" s="15"/>
      <c r="F50" s="22">
        <f>IF(D$12=0,0,D50/D$12)</f>
        <v>0.49041565787923452</v>
      </c>
      <c r="G50" s="15"/>
      <c r="H50" s="21">
        <f>H12-H21</f>
        <v>249705</v>
      </c>
      <c r="I50" s="15"/>
      <c r="J50" s="22">
        <f>IF(H$12=0,0,H50/H$12)</f>
        <v>0.45581411480371359</v>
      </c>
      <c r="K50" s="16"/>
      <c r="L50" s="21">
        <f>+D50-H50</f>
        <v>132164.92999999988</v>
      </c>
      <c r="M50" s="16"/>
      <c r="N50" s="22">
        <f>IF(H50=0,0,L50/H50)</f>
        <v>0.52928427544502465</v>
      </c>
      <c r="O50" s="27"/>
      <c r="P50" s="21">
        <f>P12-P21</f>
        <v>2135077.8000000007</v>
      </c>
      <c r="Q50" s="15"/>
      <c r="R50" s="22">
        <f>IF(P$12=0,0,P50/P$12)</f>
        <v>0.4109593423307169</v>
      </c>
      <c r="S50" s="15"/>
      <c r="T50" s="21">
        <f>T12-T21</f>
        <v>2789899</v>
      </c>
      <c r="U50" s="15"/>
      <c r="V50" s="22">
        <f>IF(T$12=0,0,T50/T$12)</f>
        <v>0.37219833900144778</v>
      </c>
      <c r="W50" s="16"/>
      <c r="X50" s="21">
        <f>+P50-T50</f>
        <v>-654821.19999999925</v>
      </c>
      <c r="Y50" s="16"/>
      <c r="Z50" s="22">
        <f>IF(T50=0,0,X50/T50)</f>
        <v>-0.23471143579032763</v>
      </c>
    </row>
    <row r="51" spans="1:26" ht="15" customHeight="1" x14ac:dyDescent="0.3">
      <c r="A51" s="10"/>
      <c r="B51" s="11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35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63" customFormat="1" ht="15" customHeight="1" x14ac:dyDescent="0.3">
      <c r="A52" s="11"/>
      <c r="B52" s="27" t="s">
        <v>290</v>
      </c>
      <c r="C52" s="11"/>
      <c r="D52" s="23" cm="1">
        <f t="array" ref="D52">SUM(OSRRefD22x_0)</f>
        <v>312441.66000000009</v>
      </c>
      <c r="E52" s="23"/>
      <c r="F52" s="29">
        <f t="shared" ref="F52:F83" si="12">IF(D$12=0,0,D52/D$12)</f>
        <v>0.40125254753046469</v>
      </c>
      <c r="G52" s="23"/>
      <c r="H52" s="23" cm="1">
        <f t="array" ref="H52">SUM(OSRRefH22x_0)</f>
        <v>322473.10071625508</v>
      </c>
      <c r="I52" s="23"/>
      <c r="J52" s="29">
        <f t="shared" ref="J52:J83" si="13">IF(H$12=0,0,H52/H$12)</f>
        <v>0.58864576580760741</v>
      </c>
      <c r="K52" s="5"/>
      <c r="L52" s="23">
        <f t="shared" ref="L52:L83" si="14">+D52-H52</f>
        <v>-10031.440716254991</v>
      </c>
      <c r="M52" s="5"/>
      <c r="N52" s="29">
        <f t="shared" ref="N52:N83" si="15">IF(H52=0,0,L52/H52)</f>
        <v>-3.1107837193160744E-2</v>
      </c>
      <c r="O52" s="11"/>
      <c r="P52" s="23" cm="1">
        <f t="array" ref="P52">SUM(OSRRefP22x_0)</f>
        <v>2537698.3899999997</v>
      </c>
      <c r="Q52" s="23"/>
      <c r="R52" s="29">
        <f t="shared" ref="R52:R83" si="16">IF(P$12=0,0,P52/P$12)</f>
        <v>0.48845567191421246</v>
      </c>
      <c r="S52" s="23"/>
      <c r="T52" s="23" cm="1">
        <f t="array" ref="T52">SUM(OSRRefT22x_0)</f>
        <v>2783375.3375206375</v>
      </c>
      <c r="U52" s="23"/>
      <c r="V52" s="29">
        <f t="shared" ref="V52:V83" si="17">IF(T$12=0,0,T52/T$12)</f>
        <v>0.3713280220691772</v>
      </c>
      <c r="W52" s="5"/>
      <c r="X52" s="23">
        <f t="shared" ref="X52:X83" si="18">+P52-T52</f>
        <v>-245676.94752063788</v>
      </c>
      <c r="Y52" s="5"/>
      <c r="Z52" s="29">
        <f t="shared" ref="Z52:Z83" si="19">IF(T52=0,0,X52/T52)</f>
        <v>-8.8265834725503062E-2</v>
      </c>
    </row>
    <row r="53" spans="1:26" s="69" customFormat="1" ht="15" customHeight="1" outlineLevel="1" collapsed="1" x14ac:dyDescent="0.3">
      <c r="A53" s="25"/>
      <c r="B53" s="14" t="str">
        <f>CONCATENATE("     ","*Benefits                                         ")</f>
        <v xml:space="preserve">     *Benefits                                         </v>
      </c>
      <c r="C53" s="14"/>
      <c r="D53" s="2">
        <f>SUM(OSRRefD22_0x_0)</f>
        <v>20443.749999999993</v>
      </c>
      <c r="E53" s="2"/>
      <c r="F53" s="6">
        <f t="shared" si="12"/>
        <v>2.625484312359604E-2</v>
      </c>
      <c r="G53" s="2"/>
      <c r="H53" s="2">
        <f>SUM(OSRRefH22_0x_0)</f>
        <v>43691.786307539791</v>
      </c>
      <c r="I53" s="2"/>
      <c r="J53" s="6">
        <f t="shared" si="13"/>
        <v>7.9755443022623759E-2</v>
      </c>
      <c r="K53" s="2"/>
      <c r="L53" s="2">
        <f t="shared" si="14"/>
        <v>-23248.036307539798</v>
      </c>
      <c r="M53" s="2"/>
      <c r="N53" s="6">
        <f t="shared" si="15"/>
        <v>-0.53209168752910285</v>
      </c>
      <c r="O53" s="14"/>
      <c r="P53" s="2">
        <f>SUM(OSRRefP22_0x_0)</f>
        <v>379847.04000000004</v>
      </c>
      <c r="Q53" s="2"/>
      <c r="R53" s="6">
        <f t="shared" si="16"/>
        <v>7.3112881293913259E-2</v>
      </c>
      <c r="S53" s="2"/>
      <c r="T53" s="2">
        <f>SUM(OSRRefT22_0x_0)</f>
        <v>389910.45864966628</v>
      </c>
      <c r="U53" s="2"/>
      <c r="V53" s="6">
        <f t="shared" si="17"/>
        <v>5.2017662671192927E-2</v>
      </c>
      <c r="W53" s="2"/>
      <c r="X53" s="2">
        <f t="shared" si="18"/>
        <v>-10063.418649666244</v>
      </c>
      <c r="Y53" s="2"/>
      <c r="Z53" s="6">
        <f t="shared" si="19"/>
        <v>-2.5809563263621518E-2</v>
      </c>
    </row>
    <row r="54" spans="1:26" s="70" customFormat="1" ht="15" hidden="1" customHeight="1" outlineLevel="2" x14ac:dyDescent="0.3">
      <c r="A54" s="26"/>
      <c r="B54" s="12" t="str">
        <f>CONCATENATE("          ","6111"," - ","F.I.C.A.")</f>
        <v xml:space="preserve">          6111 - F.I.C.A.</v>
      </c>
      <c r="C54" s="12"/>
      <c r="D54" s="8">
        <v>8104.13</v>
      </c>
      <c r="E54" s="3"/>
      <c r="F54" s="7">
        <f t="shared" si="12"/>
        <v>1.0407711980592036E-2</v>
      </c>
      <c r="G54" s="3"/>
      <c r="H54" s="8">
        <v>9084.0804050720799</v>
      </c>
      <c r="I54" s="3"/>
      <c r="J54" s="7">
        <f t="shared" si="13"/>
        <v>1.6582175241359565E-2</v>
      </c>
      <c r="K54" s="3"/>
      <c r="L54" s="8">
        <f t="shared" si="14"/>
        <v>-979.95040507207977</v>
      </c>
      <c r="M54" s="3"/>
      <c r="N54" s="7">
        <f t="shared" si="15"/>
        <v>-0.10787557588382048</v>
      </c>
      <c r="O54" s="12"/>
      <c r="P54" s="8">
        <v>71060.55</v>
      </c>
      <c r="Q54" s="3"/>
      <c r="R54" s="7">
        <f t="shared" si="16"/>
        <v>1.3677720265584239E-2</v>
      </c>
      <c r="S54" s="3"/>
      <c r="T54" s="8">
        <v>81673.366223473</v>
      </c>
      <c r="U54" s="3"/>
      <c r="V54" s="7">
        <f t="shared" si="17"/>
        <v>1.0895982703686979E-2</v>
      </c>
      <c r="W54" s="3"/>
      <c r="X54" s="8">
        <f t="shared" si="18"/>
        <v>-10612.816223472997</v>
      </c>
      <c r="Y54" s="3"/>
      <c r="Z54" s="7">
        <f t="shared" si="19"/>
        <v>-0.12994219185767886</v>
      </c>
    </row>
    <row r="55" spans="1:26" s="70" customFormat="1" ht="15" hidden="1" customHeight="1" outlineLevel="2" x14ac:dyDescent="0.3">
      <c r="A55" s="26"/>
      <c r="B55" s="12" t="str">
        <f>CONCATENATE("          ","6112"," - ","COMPENSATION INSURANCE")</f>
        <v xml:space="preserve">          6112 - COMPENSATION INSURANCE</v>
      </c>
      <c r="C55" s="12"/>
      <c r="D55" s="8">
        <v>2747.99</v>
      </c>
      <c r="E55" s="3"/>
      <c r="F55" s="7">
        <f t="shared" si="12"/>
        <v>3.5291004025783282E-3</v>
      </c>
      <c r="G55" s="3"/>
      <c r="H55" s="8">
        <v>2457.75367848</v>
      </c>
      <c r="I55" s="3"/>
      <c r="J55" s="7">
        <f t="shared" si="13"/>
        <v>4.4864092323418916E-3</v>
      </c>
      <c r="K55" s="3"/>
      <c r="L55" s="8">
        <f t="shared" si="14"/>
        <v>290.23632151999982</v>
      </c>
      <c r="M55" s="3"/>
      <c r="N55" s="7">
        <f t="shared" si="15"/>
        <v>0.11809007715512676</v>
      </c>
      <c r="O55" s="12"/>
      <c r="P55" s="8">
        <v>19890.8</v>
      </c>
      <c r="Q55" s="3"/>
      <c r="R55" s="7">
        <f t="shared" si="16"/>
        <v>3.8285771536905214E-3</v>
      </c>
      <c r="S55" s="3"/>
      <c r="T55" s="8">
        <v>23340.470667450001</v>
      </c>
      <c r="U55" s="3"/>
      <c r="V55" s="7">
        <f t="shared" si="17"/>
        <v>3.1138347352133188E-3</v>
      </c>
      <c r="W55" s="3"/>
      <c r="X55" s="8">
        <f t="shared" si="18"/>
        <v>-3449.6706674500019</v>
      </c>
      <c r="Y55" s="3"/>
      <c r="Z55" s="7">
        <f t="shared" si="19"/>
        <v>-0.14779781935849395</v>
      </c>
    </row>
    <row r="56" spans="1:26" s="70" customFormat="1" ht="15" hidden="1" customHeight="1" outlineLevel="2" x14ac:dyDescent="0.3">
      <c r="A56" s="26"/>
      <c r="B56" s="12" t="str">
        <f>CONCATENATE("          ","6113"," - ","GROUP INSURANCE")</f>
        <v xml:space="preserve">          6113 - GROUP INSURANCE</v>
      </c>
      <c r="C56" s="12"/>
      <c r="D56" s="8">
        <v>14173.69</v>
      </c>
      <c r="E56" s="3"/>
      <c r="F56" s="7">
        <f t="shared" si="12"/>
        <v>1.8202531699540548E-2</v>
      </c>
      <c r="G56" s="3"/>
      <c r="H56" s="8">
        <v>15715.9230769231</v>
      </c>
      <c r="I56" s="3"/>
      <c r="J56" s="7">
        <f t="shared" si="13"/>
        <v>2.8688010114458894E-2</v>
      </c>
      <c r="K56" s="3"/>
      <c r="L56" s="8">
        <f t="shared" si="14"/>
        <v>-1542.2330769230994</v>
      </c>
      <c r="M56" s="3"/>
      <c r="N56" s="7">
        <f t="shared" si="15"/>
        <v>-9.8131879964955981E-2</v>
      </c>
      <c r="O56" s="12"/>
      <c r="P56" s="8">
        <v>136034.01999999999</v>
      </c>
      <c r="Q56" s="3"/>
      <c r="R56" s="7">
        <f t="shared" si="16"/>
        <v>2.6183800606143514E-2</v>
      </c>
      <c r="S56" s="3"/>
      <c r="T56" s="8">
        <v>133874.57692307699</v>
      </c>
      <c r="U56" s="3"/>
      <c r="V56" s="7">
        <f t="shared" si="17"/>
        <v>1.7860107181403632E-2</v>
      </c>
      <c r="W56" s="3"/>
      <c r="X56" s="8">
        <f t="shared" si="18"/>
        <v>2159.4430769229948</v>
      </c>
      <c r="Y56" s="3"/>
      <c r="Z56" s="7">
        <f t="shared" si="19"/>
        <v>1.613034473426414E-2</v>
      </c>
    </row>
    <row r="57" spans="1:26" s="70" customFormat="1" ht="15" hidden="1" customHeight="1" outlineLevel="2" x14ac:dyDescent="0.3">
      <c r="A57" s="26"/>
      <c r="B57" s="12" t="str">
        <f>CONCATENATE("          ","6114"," - ","STATE UNEMPLOYMENT INSURANCE")</f>
        <v xml:space="preserve">          6114 - STATE UNEMPLOYMENT INSURANCE</v>
      </c>
      <c r="C57" s="12"/>
      <c r="D57" s="8">
        <v>498.17</v>
      </c>
      <c r="E57" s="3"/>
      <c r="F57" s="7">
        <f t="shared" si="12"/>
        <v>6.3977377921769954E-4</v>
      </c>
      <c r="G57" s="3"/>
      <c r="H57" s="8">
        <v>330.85145671846101</v>
      </c>
      <c r="I57" s="3"/>
      <c r="J57" s="7">
        <f t="shared" si="13"/>
        <v>6.0393970435371528E-4</v>
      </c>
      <c r="K57" s="3"/>
      <c r="L57" s="8">
        <f t="shared" si="14"/>
        <v>167.31854328153901</v>
      </c>
      <c r="M57" s="3"/>
      <c r="N57" s="7">
        <f t="shared" si="15"/>
        <v>0.50572104152444219</v>
      </c>
      <c r="O57" s="12"/>
      <c r="P57" s="8">
        <v>3591.22</v>
      </c>
      <c r="Q57" s="3"/>
      <c r="R57" s="7">
        <f t="shared" si="16"/>
        <v>6.9123729794057925E-4</v>
      </c>
      <c r="S57" s="3"/>
      <c r="T57" s="8">
        <v>3141.9864360028801</v>
      </c>
      <c r="U57" s="3"/>
      <c r="V57" s="7">
        <f t="shared" si="17"/>
        <v>4.1917006050948459E-4</v>
      </c>
      <c r="W57" s="3"/>
      <c r="X57" s="8">
        <f t="shared" si="18"/>
        <v>449.23356399711975</v>
      </c>
      <c r="Y57" s="3"/>
      <c r="Z57" s="7">
        <f t="shared" si="19"/>
        <v>0.14297756312679</v>
      </c>
    </row>
    <row r="58" spans="1:26" s="70" customFormat="1" ht="15" hidden="1" customHeight="1" outlineLevel="2" x14ac:dyDescent="0.3">
      <c r="A58" s="26"/>
      <c r="B58" s="12" t="str">
        <f>CONCATENATE("          ","6115"," - ","P.E.R.S.")</f>
        <v xml:space="preserve">          6115 - P.E.R.S.</v>
      </c>
      <c r="C58" s="12"/>
      <c r="D58" s="8">
        <v>6920.65</v>
      </c>
      <c r="E58" s="3"/>
      <c r="F58" s="7">
        <f t="shared" si="12"/>
        <v>8.8878302690707425E-3</v>
      </c>
      <c r="G58" s="3"/>
      <c r="H58" s="8">
        <v>4215.5982431846096</v>
      </c>
      <c r="I58" s="3"/>
      <c r="J58" s="7">
        <f t="shared" si="13"/>
        <v>7.6951970588705993E-3</v>
      </c>
      <c r="K58" s="3"/>
      <c r="L58" s="8">
        <f t="shared" si="14"/>
        <v>2705.05175681539</v>
      </c>
      <c r="M58" s="3"/>
      <c r="N58" s="7">
        <f t="shared" si="15"/>
        <v>0.64167683938778275</v>
      </c>
      <c r="O58" s="12"/>
      <c r="P58" s="8">
        <v>55256.2</v>
      </c>
      <c r="Q58" s="3"/>
      <c r="R58" s="7">
        <f t="shared" si="16"/>
        <v>1.0635702179889909E-2</v>
      </c>
      <c r="S58" s="3"/>
      <c r="T58" s="8">
        <v>38704.078089403803</v>
      </c>
      <c r="U58" s="3"/>
      <c r="V58" s="7">
        <f t="shared" si="17"/>
        <v>5.1634821108070307E-3</v>
      </c>
      <c r="W58" s="3"/>
      <c r="X58" s="8">
        <f t="shared" si="18"/>
        <v>16552.121910596194</v>
      </c>
      <c r="Y58" s="3"/>
      <c r="Z58" s="7">
        <f t="shared" si="19"/>
        <v>0.42765834319478974</v>
      </c>
    </row>
    <row r="59" spans="1:26" s="70" customFormat="1" ht="15" hidden="1" customHeight="1" outlineLevel="2" x14ac:dyDescent="0.3">
      <c r="A59" s="26"/>
      <c r="B59" s="12" t="str">
        <f>CONCATENATE("          ","6116"," - ","EDUCATIONAL BENEFITS")</f>
        <v xml:space="preserve">          6116 - EDUCATIONAL BENEFITS</v>
      </c>
      <c r="C59" s="12"/>
      <c r="D59" s="8"/>
      <c r="E59" s="3"/>
      <c r="F59" s="7">
        <f t="shared" si="12"/>
        <v>0</v>
      </c>
      <c r="G59" s="3"/>
      <c r="H59" s="8">
        <v>0</v>
      </c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0</v>
      </c>
      <c r="U59" s="3"/>
      <c r="V59" s="7">
        <f t="shared" si="17"/>
        <v>0</v>
      </c>
      <c r="W59" s="3"/>
      <c r="X59" s="8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","6117"," - ","RETIREMENT STAFF HOURLY")</f>
        <v xml:space="preserve">          6117 - RETIREMENT STAFF HOURLY</v>
      </c>
      <c r="C60" s="12"/>
      <c r="D60" s="8">
        <v>701.53</v>
      </c>
      <c r="E60" s="3"/>
      <c r="F60" s="7">
        <f t="shared" si="12"/>
        <v>9.0093843333519216E-4</v>
      </c>
      <c r="G60" s="3"/>
      <c r="H60" s="8"/>
      <c r="I60" s="3"/>
      <c r="J60" s="7">
        <f t="shared" si="13"/>
        <v>0</v>
      </c>
      <c r="K60" s="3"/>
      <c r="L60" s="8">
        <f t="shared" si="14"/>
        <v>701.53</v>
      </c>
      <c r="M60" s="3"/>
      <c r="N60" s="7">
        <f t="shared" si="15"/>
        <v>0</v>
      </c>
      <c r="O60" s="12"/>
      <c r="P60" s="8">
        <v>5364.59</v>
      </c>
      <c r="Q60" s="3"/>
      <c r="R60" s="7">
        <f t="shared" si="16"/>
        <v>1.0325751962171775E-3</v>
      </c>
      <c r="S60" s="3"/>
      <c r="T60" s="8"/>
      <c r="U60" s="3"/>
      <c r="V60" s="7">
        <f t="shared" si="17"/>
        <v>0</v>
      </c>
      <c r="W60" s="3"/>
      <c r="X60" s="8">
        <f t="shared" si="18"/>
        <v>5364.59</v>
      </c>
      <c r="Y60" s="3"/>
      <c r="Z60" s="7">
        <f t="shared" si="19"/>
        <v>0</v>
      </c>
    </row>
    <row r="61" spans="1:26" s="70" customFormat="1" ht="15" hidden="1" customHeight="1" outlineLevel="2" x14ac:dyDescent="0.3">
      <c r="A61" s="26"/>
      <c r="B61" s="12" t="str">
        <f>CONCATENATE("          ","6118"," - ","VACATION")</f>
        <v xml:space="preserve">          6118 - VACATION</v>
      </c>
      <c r="C61" s="12"/>
      <c r="D61" s="8">
        <v>7602.2</v>
      </c>
      <c r="E61" s="3"/>
      <c r="F61" s="7">
        <f t="shared" si="12"/>
        <v>9.7631094292486391E-3</v>
      </c>
      <c r="G61" s="3"/>
      <c r="H61" s="8">
        <v>3793.1837726692302</v>
      </c>
      <c r="I61" s="3"/>
      <c r="J61" s="7">
        <f t="shared" si="13"/>
        <v>6.9241172728901545E-3</v>
      </c>
      <c r="K61" s="3"/>
      <c r="L61" s="8">
        <f t="shared" si="14"/>
        <v>3809.0162273307697</v>
      </c>
      <c r="M61" s="3"/>
      <c r="N61" s="7">
        <f t="shared" si="15"/>
        <v>1.0041739223856265</v>
      </c>
      <c r="O61" s="12"/>
      <c r="P61" s="8">
        <v>51566.18</v>
      </c>
      <c r="Q61" s="3"/>
      <c r="R61" s="7">
        <f t="shared" si="16"/>
        <v>9.9254478779683616E-3</v>
      </c>
      <c r="S61" s="3"/>
      <c r="T61" s="8">
        <v>35303.838780086502</v>
      </c>
      <c r="U61" s="3"/>
      <c r="V61" s="7">
        <f t="shared" si="17"/>
        <v>4.7098587276181297E-3</v>
      </c>
      <c r="W61" s="3"/>
      <c r="X61" s="8">
        <f t="shared" si="18"/>
        <v>16262.341219913498</v>
      </c>
      <c r="Y61" s="3"/>
      <c r="Z61" s="7">
        <f t="shared" si="19"/>
        <v>0.4606394596693672</v>
      </c>
    </row>
    <row r="62" spans="1:26" s="70" customFormat="1" ht="15" hidden="1" customHeight="1" outlineLevel="2" x14ac:dyDescent="0.3">
      <c r="A62" s="26"/>
      <c r="B62" s="12" t="str">
        <f>CONCATENATE("          ","6119"," - ","SICK LEAVE")</f>
        <v xml:space="preserve">          6119 - SICK LEAVE</v>
      </c>
      <c r="C62" s="12"/>
      <c r="D62" s="8">
        <v>-23816.080000000002</v>
      </c>
      <c r="E62" s="3"/>
      <c r="F62" s="7">
        <f t="shared" si="12"/>
        <v>-3.0585750863663146E-2</v>
      </c>
      <c r="G62" s="3"/>
      <c r="H62" s="8">
        <v>5819.3956744923098</v>
      </c>
      <c r="I62" s="3"/>
      <c r="J62" s="7">
        <f t="shared" si="13"/>
        <v>1.0622785639299461E-2</v>
      </c>
      <c r="K62" s="3"/>
      <c r="L62" s="8">
        <f t="shared" si="14"/>
        <v>-29635.475674492311</v>
      </c>
      <c r="M62" s="3"/>
      <c r="N62" s="7">
        <f t="shared" si="15"/>
        <v>-5.092534918082837</v>
      </c>
      <c r="O62" s="12"/>
      <c r="P62" s="8">
        <v>15029.27</v>
      </c>
      <c r="Q62" s="3"/>
      <c r="R62" s="7">
        <f t="shared" si="16"/>
        <v>2.892830844342427E-3</v>
      </c>
      <c r="S62" s="3"/>
      <c r="T62" s="8">
        <v>54797.141530173103</v>
      </c>
      <c r="U62" s="3"/>
      <c r="V62" s="7">
        <f t="shared" si="17"/>
        <v>7.3104456683047237E-3</v>
      </c>
      <c r="W62" s="3"/>
      <c r="X62" s="8">
        <f t="shared" si="18"/>
        <v>-39767.871530173099</v>
      </c>
      <c r="Y62" s="3"/>
      <c r="Z62" s="7">
        <f t="shared" si="19"/>
        <v>-0.72572894168714264</v>
      </c>
    </row>
    <row r="63" spans="1:26" s="70" customFormat="1" ht="15" hidden="1" customHeight="1" outlineLevel="2" x14ac:dyDescent="0.3">
      <c r="A63" s="26"/>
      <c r="B63" s="12" t="str">
        <f>CONCATENATE("          ","6156"," - ","EMPLOYEE MEALS")</f>
        <v xml:space="preserve">          6156 - EMPLOYEE MEALS</v>
      </c>
      <c r="C63" s="12"/>
      <c r="D63" s="8">
        <v>3511.47</v>
      </c>
      <c r="E63" s="3"/>
      <c r="F63" s="7">
        <f t="shared" si="12"/>
        <v>4.5095979936760041E-3</v>
      </c>
      <c r="G63" s="3"/>
      <c r="H63" s="8">
        <v>2275</v>
      </c>
      <c r="I63" s="3"/>
      <c r="J63" s="7">
        <f t="shared" si="13"/>
        <v>4.1528087590494726E-3</v>
      </c>
      <c r="K63" s="3"/>
      <c r="L63" s="8">
        <f t="shared" si="14"/>
        <v>1236.4699999999998</v>
      </c>
      <c r="M63" s="3"/>
      <c r="N63" s="7">
        <f t="shared" si="15"/>
        <v>0.54350329670329667</v>
      </c>
      <c r="O63" s="12"/>
      <c r="P63" s="8">
        <v>22054.21</v>
      </c>
      <c r="Q63" s="3"/>
      <c r="R63" s="7">
        <f t="shared" si="16"/>
        <v>4.2449898721365169E-3</v>
      </c>
      <c r="S63" s="3"/>
      <c r="T63" s="8">
        <v>19075</v>
      </c>
      <c r="U63" s="3"/>
      <c r="V63" s="7">
        <f t="shared" si="17"/>
        <v>2.5447814836496289E-3</v>
      </c>
      <c r="W63" s="3"/>
      <c r="X63" s="8">
        <f t="shared" si="18"/>
        <v>2979.2099999999991</v>
      </c>
      <c r="Y63" s="3"/>
      <c r="Z63" s="7">
        <f t="shared" si="19"/>
        <v>0.15618401048492786</v>
      </c>
    </row>
    <row r="64" spans="1:26" s="69" customFormat="1" ht="15" customHeight="1" outlineLevel="1" collapsed="1" x14ac:dyDescent="0.3">
      <c r="A64" s="25"/>
      <c r="B64" s="14" t="str">
        <f>CONCATENATE("     ","*Payroll                                          ")</f>
        <v xml:space="preserve">     *Payroll                                          </v>
      </c>
      <c r="C64" s="14"/>
      <c r="D64" s="2">
        <f>SUM(OSRRefD22_1x_0)</f>
        <v>186124.57</v>
      </c>
      <c r="E64" s="2"/>
      <c r="F64" s="6">
        <f t="shared" si="12"/>
        <v>0.23903008923493838</v>
      </c>
      <c r="G64" s="2"/>
      <c r="H64" s="2">
        <f>SUM(OSRRefH22_1x_0)</f>
        <v>150894.31440871529</v>
      </c>
      <c r="I64" s="2"/>
      <c r="J64" s="6">
        <f t="shared" si="13"/>
        <v>0.27544405739221006</v>
      </c>
      <c r="K64" s="2"/>
      <c r="L64" s="2">
        <f t="shared" si="14"/>
        <v>35230.255591284717</v>
      </c>
      <c r="M64" s="2"/>
      <c r="N64" s="6">
        <f t="shared" si="15"/>
        <v>0.23347636211036657</v>
      </c>
      <c r="O64" s="14"/>
      <c r="P64" s="2">
        <f>SUM(OSRRefP22_1x_0)</f>
        <v>1334761.6399999999</v>
      </c>
      <c r="Q64" s="2"/>
      <c r="R64" s="6">
        <f t="shared" si="16"/>
        <v>0.25691465001540875</v>
      </c>
      <c r="S64" s="2"/>
      <c r="T64" s="2">
        <f>SUM(OSRRefT22_1x_0)</f>
        <v>1435190.8788709713</v>
      </c>
      <c r="U64" s="2"/>
      <c r="V64" s="6">
        <f t="shared" si="17"/>
        <v>0.19146774175903986</v>
      </c>
      <c r="W64" s="2"/>
      <c r="X64" s="2">
        <f t="shared" si="18"/>
        <v>-100429.23887097137</v>
      </c>
      <c r="Y64" s="2"/>
      <c r="Z64" s="6">
        <f t="shared" si="19"/>
        <v>-6.9976224312390103E-2</v>
      </c>
    </row>
    <row r="65" spans="1:26" s="70" customFormat="1" ht="15" hidden="1" customHeight="1" outlineLevel="2" x14ac:dyDescent="0.3">
      <c r="A65" s="26"/>
      <c r="B65" s="12" t="str">
        <f>CONCATENATE("          ","6001"," - ","ADMINISTRATIVE SALARIES")</f>
        <v xml:space="preserve">          6001 - ADMINISTRATIVE SALARIES</v>
      </c>
      <c r="C65" s="12"/>
      <c r="D65" s="8">
        <v>7265.35</v>
      </c>
      <c r="E65" s="3"/>
      <c r="F65" s="7">
        <f t="shared" si="12"/>
        <v>9.3305105221898402E-3</v>
      </c>
      <c r="G65" s="3"/>
      <c r="H65" s="8">
        <v>4139.8076923076896</v>
      </c>
      <c r="I65" s="3"/>
      <c r="J65" s="7">
        <f t="shared" si="13"/>
        <v>7.5568481957783542E-3</v>
      </c>
      <c r="K65" s="3"/>
      <c r="L65" s="8">
        <f t="shared" si="14"/>
        <v>3125.5423076923107</v>
      </c>
      <c r="M65" s="3"/>
      <c r="N65" s="7">
        <f t="shared" si="15"/>
        <v>0.75499698053607223</v>
      </c>
      <c r="O65" s="12"/>
      <c r="P65" s="8">
        <v>40957.550000000003</v>
      </c>
      <c r="Q65" s="3"/>
      <c r="R65" s="7">
        <f t="shared" si="16"/>
        <v>7.8835009251079502E-3</v>
      </c>
      <c r="S65" s="3"/>
      <c r="T65" s="8">
        <v>36223.317307692298</v>
      </c>
      <c r="U65" s="3"/>
      <c r="V65" s="7">
        <f t="shared" si="17"/>
        <v>4.8325256703004183E-3</v>
      </c>
      <c r="W65" s="3"/>
      <c r="X65" s="8">
        <f t="shared" si="18"/>
        <v>4734.2326923077053</v>
      </c>
      <c r="Y65" s="3"/>
      <c r="Z65" s="7">
        <f t="shared" si="19"/>
        <v>0.13069572430635321</v>
      </c>
    </row>
    <row r="66" spans="1:26" s="70" customFormat="1" ht="15" hidden="1" customHeight="1" outlineLevel="2" x14ac:dyDescent="0.3">
      <c r="A66" s="26"/>
      <c r="B66" s="12" t="str">
        <f>CONCATENATE("          ","6002"," - ","STAFF SALARIES")</f>
        <v xml:space="preserve">          6002 - STAFF SALARIES</v>
      </c>
      <c r="C66" s="12"/>
      <c r="D66" s="8">
        <v>63093.51</v>
      </c>
      <c r="E66" s="3"/>
      <c r="F66" s="7">
        <f t="shared" si="12"/>
        <v>8.10277080852113E-2</v>
      </c>
      <c r="G66" s="3"/>
      <c r="H66" s="8">
        <v>40067.404623407601</v>
      </c>
      <c r="I66" s="3"/>
      <c r="J66" s="7">
        <f t="shared" si="13"/>
        <v>7.3139458845040181E-2</v>
      </c>
      <c r="K66" s="3"/>
      <c r="L66" s="8">
        <f t="shared" si="14"/>
        <v>23026.105376592401</v>
      </c>
      <c r="M66" s="3"/>
      <c r="N66" s="7">
        <f t="shared" si="15"/>
        <v>0.5746842250705807</v>
      </c>
      <c r="O66" s="12"/>
      <c r="P66" s="8">
        <v>468121.74</v>
      </c>
      <c r="Q66" s="3"/>
      <c r="R66" s="7">
        <f t="shared" si="16"/>
        <v>9.0103977663535617E-2</v>
      </c>
      <c r="S66" s="3"/>
      <c r="T66" s="8">
        <v>368554.37699327897</v>
      </c>
      <c r="U66" s="3"/>
      <c r="V66" s="7">
        <f t="shared" si="17"/>
        <v>4.9168563789804512E-2</v>
      </c>
      <c r="W66" s="3"/>
      <c r="X66" s="8">
        <f t="shared" si="18"/>
        <v>99567.363006721018</v>
      </c>
      <c r="Y66" s="3"/>
      <c r="Z66" s="7">
        <f t="shared" si="19"/>
        <v>0.2701565066707558</v>
      </c>
    </row>
    <row r="67" spans="1:26" s="70" customFormat="1" ht="15" hidden="1" customHeight="1" outlineLevel="2" x14ac:dyDescent="0.3">
      <c r="A67" s="26"/>
      <c r="B67" s="12" t="str">
        <f>CONCATENATE("          ","6003"," - ","STAFF HOURLY-9 MONTH")</f>
        <v xml:space="preserve">          6003 - STAFF HOURLY-9 MONTH</v>
      </c>
      <c r="C67" s="12"/>
      <c r="D67" s="8"/>
      <c r="E67" s="3"/>
      <c r="F67" s="7">
        <f t="shared" si="12"/>
        <v>0</v>
      </c>
      <c r="G67" s="3"/>
      <c r="H67" s="8">
        <v>0</v>
      </c>
      <c r="I67" s="3"/>
      <c r="J67" s="7">
        <f t="shared" si="13"/>
        <v>0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/>
      <c r="Q67" s="3"/>
      <c r="R67" s="7">
        <f t="shared" si="16"/>
        <v>0</v>
      </c>
      <c r="S67" s="3"/>
      <c r="T67" s="8">
        <v>0</v>
      </c>
      <c r="U67" s="3"/>
      <c r="V67" s="7">
        <f t="shared" si="17"/>
        <v>0</v>
      </c>
      <c r="W67" s="3"/>
      <c r="X67" s="8">
        <f t="shared" si="18"/>
        <v>0</v>
      </c>
      <c r="Y67" s="3"/>
      <c r="Z67" s="7">
        <f t="shared" si="19"/>
        <v>0</v>
      </c>
    </row>
    <row r="68" spans="1:26" s="70" customFormat="1" ht="15" hidden="1" customHeight="1" outlineLevel="2" x14ac:dyDescent="0.3">
      <c r="A68" s="26"/>
      <c r="B68" s="12" t="str">
        <f>CONCATENATE("          ","6004"," - ","STAFF HOURLY")</f>
        <v xml:space="preserve">          6004 - STAFF HOURLY</v>
      </c>
      <c r="C68" s="12"/>
      <c r="D68" s="8">
        <v>31527.18</v>
      </c>
      <c r="E68" s="3"/>
      <c r="F68" s="7">
        <f t="shared" si="12"/>
        <v>4.0488714889850196E-2</v>
      </c>
      <c r="G68" s="3"/>
      <c r="H68" s="8">
        <v>36653.093567999997</v>
      </c>
      <c r="I68" s="3"/>
      <c r="J68" s="7">
        <f t="shared" si="13"/>
        <v>6.6906939787011108E-2</v>
      </c>
      <c r="K68" s="3"/>
      <c r="L68" s="8">
        <f t="shared" si="14"/>
        <v>-5125.9135679999963</v>
      </c>
      <c r="M68" s="3"/>
      <c r="N68" s="7">
        <f t="shared" si="15"/>
        <v>-0.13984941157804967</v>
      </c>
      <c r="O68" s="12"/>
      <c r="P68" s="8">
        <v>185319.42</v>
      </c>
      <c r="Q68" s="3"/>
      <c r="R68" s="7">
        <f t="shared" si="16"/>
        <v>3.5670244411847608E-2</v>
      </c>
      <c r="S68" s="3"/>
      <c r="T68" s="8">
        <v>301998.83152000001</v>
      </c>
      <c r="U68" s="3"/>
      <c r="V68" s="7">
        <f t="shared" si="17"/>
        <v>4.0289438245657665E-2</v>
      </c>
      <c r="W68" s="3"/>
      <c r="X68" s="8">
        <f t="shared" si="18"/>
        <v>-116679.41151999999</v>
      </c>
      <c r="Y68" s="3"/>
      <c r="Z68" s="7">
        <f t="shared" si="19"/>
        <v>-0.38635716215436033</v>
      </c>
    </row>
    <row r="69" spans="1:26" s="70" customFormat="1" ht="15" hidden="1" customHeight="1" outlineLevel="2" x14ac:dyDescent="0.3">
      <c r="A69" s="26"/>
      <c r="B69" s="12" t="str">
        <f>CONCATENATE("          ","6005"," - ","TEMPORARY WAGES-HOURLY")</f>
        <v xml:space="preserve">          6005 - TEMPORARY WAGES-HOURLY</v>
      </c>
      <c r="C69" s="12"/>
      <c r="D69" s="8">
        <v>7122.26</v>
      </c>
      <c r="E69" s="3"/>
      <c r="F69" s="7">
        <f t="shared" si="12"/>
        <v>9.1467474893531363E-3</v>
      </c>
      <c r="G69" s="3"/>
      <c r="H69" s="8">
        <v>1802</v>
      </c>
      <c r="I69" s="3"/>
      <c r="J69" s="7">
        <f t="shared" si="13"/>
        <v>3.2893896192558898E-3</v>
      </c>
      <c r="K69" s="3"/>
      <c r="L69" s="8">
        <f t="shared" si="14"/>
        <v>5320.26</v>
      </c>
      <c r="M69" s="3"/>
      <c r="N69" s="7">
        <f t="shared" si="15"/>
        <v>2.9524195338512764</v>
      </c>
      <c r="O69" s="12"/>
      <c r="P69" s="8">
        <v>67053.710000000006</v>
      </c>
      <c r="Q69" s="3"/>
      <c r="R69" s="7">
        <f t="shared" si="16"/>
        <v>1.2906484514257329E-2</v>
      </c>
      <c r="S69" s="3"/>
      <c r="T69" s="8">
        <v>27180.34</v>
      </c>
      <c r="U69" s="3"/>
      <c r="V69" s="7">
        <f t="shared" si="17"/>
        <v>3.6261088309987605E-3</v>
      </c>
      <c r="W69" s="3"/>
      <c r="X69" s="8">
        <f t="shared" si="18"/>
        <v>39873.37000000001</v>
      </c>
      <c r="Y69" s="3"/>
      <c r="Z69" s="7">
        <f t="shared" si="19"/>
        <v>1.4669930545386853</v>
      </c>
    </row>
    <row r="70" spans="1:26" s="70" customFormat="1" ht="15" hidden="1" customHeight="1" outlineLevel="2" x14ac:dyDescent="0.3">
      <c r="A70" s="26"/>
      <c r="B70" s="12" t="str">
        <f>CONCATENATE("          ","6006"," - ","TEMPORARY PART TIME")</f>
        <v xml:space="preserve">          6006 - TEMPORARY PART TIME</v>
      </c>
      <c r="C70" s="12"/>
      <c r="D70" s="8">
        <v>2310.4</v>
      </c>
      <c r="E70" s="3"/>
      <c r="F70" s="7">
        <f t="shared" si="12"/>
        <v>2.9671263614922073E-3</v>
      </c>
      <c r="G70" s="3"/>
      <c r="H70" s="8">
        <v>0</v>
      </c>
      <c r="I70" s="3"/>
      <c r="J70" s="7">
        <f t="shared" si="13"/>
        <v>0</v>
      </c>
      <c r="K70" s="3"/>
      <c r="L70" s="8">
        <f t="shared" si="14"/>
        <v>2310.4</v>
      </c>
      <c r="M70" s="3"/>
      <c r="N70" s="7">
        <f t="shared" si="15"/>
        <v>0</v>
      </c>
      <c r="O70" s="12"/>
      <c r="P70" s="8">
        <v>14280.37</v>
      </c>
      <c r="Q70" s="3"/>
      <c r="R70" s="7">
        <f t="shared" si="16"/>
        <v>2.7486827240858847E-3</v>
      </c>
      <c r="S70" s="3"/>
      <c r="T70" s="8">
        <v>0</v>
      </c>
      <c r="U70" s="3"/>
      <c r="V70" s="7">
        <f t="shared" si="17"/>
        <v>0</v>
      </c>
      <c r="W70" s="3"/>
      <c r="X70" s="8">
        <f t="shared" si="18"/>
        <v>14280.37</v>
      </c>
      <c r="Y70" s="3"/>
      <c r="Z70" s="7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","6007"," - ","STUDENT HOURLY")</f>
        <v xml:space="preserve">          6007 - STUDENT HOURLY</v>
      </c>
      <c r="C71" s="12"/>
      <c r="D71" s="8">
        <v>59937.7</v>
      </c>
      <c r="E71" s="3"/>
      <c r="F71" s="7">
        <f t="shared" si="12"/>
        <v>7.6974865701701631E-2</v>
      </c>
      <c r="G71" s="3"/>
      <c r="H71" s="8">
        <v>30933.624</v>
      </c>
      <c r="I71" s="3"/>
      <c r="J71" s="7">
        <f t="shared" si="13"/>
        <v>5.6466560306084823E-2</v>
      </c>
      <c r="K71" s="3"/>
      <c r="L71" s="8">
        <f t="shared" si="14"/>
        <v>29004.075999999997</v>
      </c>
      <c r="M71" s="3"/>
      <c r="N71" s="7">
        <f t="shared" si="15"/>
        <v>0.93762295681876773</v>
      </c>
      <c r="O71" s="12"/>
      <c r="P71" s="8">
        <v>481209.4</v>
      </c>
      <c r="Q71" s="3"/>
      <c r="R71" s="7">
        <f t="shared" si="16"/>
        <v>9.2623087808490545E-2</v>
      </c>
      <c r="S71" s="3"/>
      <c r="T71" s="8">
        <v>296916.71399999998</v>
      </c>
      <c r="U71" s="3"/>
      <c r="V71" s="7">
        <f t="shared" si="17"/>
        <v>3.9611436748272215E-2</v>
      </c>
      <c r="W71" s="3"/>
      <c r="X71" s="8">
        <f t="shared" si="18"/>
        <v>184292.68600000005</v>
      </c>
      <c r="Y71" s="3"/>
      <c r="Z71" s="7">
        <f t="shared" si="19"/>
        <v>0.62068815028041857</v>
      </c>
    </row>
    <row r="72" spans="1:26" s="70" customFormat="1" ht="15" hidden="1" customHeight="1" outlineLevel="2" x14ac:dyDescent="0.3">
      <c r="A72" s="26"/>
      <c r="B72" s="12" t="str">
        <f>CONCATENATE("          ","6008"," - ","STUDENT HOURLY-FICA EXEMPT")</f>
        <v xml:space="preserve">          6008 - STUDENT HOURLY-FICA EXEMPT</v>
      </c>
      <c r="C72" s="12"/>
      <c r="D72" s="8">
        <v>14868.17</v>
      </c>
      <c r="E72" s="3"/>
      <c r="F72" s="7">
        <f t="shared" si="12"/>
        <v>1.9094416185140059E-2</v>
      </c>
      <c r="G72" s="3"/>
      <c r="H72" s="8">
        <v>37298.384525000001</v>
      </c>
      <c r="I72" s="3"/>
      <c r="J72" s="7">
        <f t="shared" si="13"/>
        <v>6.8084860639039693E-2</v>
      </c>
      <c r="K72" s="3"/>
      <c r="L72" s="8">
        <f t="shared" si="14"/>
        <v>-22430.214525000003</v>
      </c>
      <c r="M72" s="3"/>
      <c r="N72" s="7">
        <f t="shared" si="15"/>
        <v>-0.60137227954110706</v>
      </c>
      <c r="O72" s="12"/>
      <c r="P72" s="8">
        <v>77819.45</v>
      </c>
      <c r="Q72" s="3"/>
      <c r="R72" s="7">
        <f t="shared" si="16"/>
        <v>1.4978671968083829E-2</v>
      </c>
      <c r="S72" s="3"/>
      <c r="T72" s="8">
        <v>404317.29904999997</v>
      </c>
      <c r="U72" s="3"/>
      <c r="V72" s="7">
        <f t="shared" si="17"/>
        <v>5.3939668474006268E-2</v>
      </c>
      <c r="W72" s="3"/>
      <c r="X72" s="8">
        <f t="shared" si="18"/>
        <v>-326497.84904999996</v>
      </c>
      <c r="Y72" s="3"/>
      <c r="Z72" s="7">
        <f t="shared" si="19"/>
        <v>-0.80752876470324741</v>
      </c>
    </row>
    <row r="73" spans="1:26" s="70" customFormat="1" ht="15" hidden="1" customHeight="1" outlineLevel="2" x14ac:dyDescent="0.3">
      <c r="A73" s="26"/>
      <c r="B73" s="12" t="str">
        <f>CONCATENATE("          ","6009"," - ","TEMPORARY-SEASONAL")</f>
        <v xml:space="preserve">          6009 - TEMPORARY-SEASONAL</v>
      </c>
      <c r="C73" s="12"/>
      <c r="D73" s="8"/>
      <c r="E73" s="3"/>
      <c r="F73" s="7">
        <f t="shared" si="12"/>
        <v>0</v>
      </c>
      <c r="G73" s="3"/>
      <c r="H73" s="8">
        <v>0</v>
      </c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","6010"," - ","GRATUITY")</f>
        <v xml:space="preserve">          6010 - GRATUITY</v>
      </c>
      <c r="C74" s="12"/>
      <c r="D74" s="8"/>
      <c r="E74" s="3"/>
      <c r="F74" s="7">
        <f t="shared" si="12"/>
        <v>0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0</v>
      </c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9" customFormat="1" ht="15" customHeight="1" outlineLevel="1" collapsed="1" x14ac:dyDescent="0.3">
      <c r="A75" s="25"/>
      <c r="B75" s="14" t="str">
        <f>CONCATENATE("     ","Advertising/Promo                                 ")</f>
        <v xml:space="preserve">     Advertising/Promo                                 </v>
      </c>
      <c r="C75" s="14"/>
      <c r="D75" s="2">
        <f>SUM(OSRRefD22_2x_0)</f>
        <v>366.64</v>
      </c>
      <c r="E75" s="2"/>
      <c r="F75" s="6">
        <f t="shared" si="12"/>
        <v>4.7085665217170305E-4</v>
      </c>
      <c r="G75" s="2"/>
      <c r="H75" s="2">
        <f>SUM(OSRRefH22_2x_0)</f>
        <v>300</v>
      </c>
      <c r="I75" s="2"/>
      <c r="J75" s="6">
        <f t="shared" si="13"/>
        <v>5.4762313306146886E-4</v>
      </c>
      <c r="K75" s="2"/>
      <c r="L75" s="2">
        <f t="shared" si="14"/>
        <v>66.639999999999986</v>
      </c>
      <c r="M75" s="2"/>
      <c r="N75" s="6">
        <f t="shared" si="15"/>
        <v>0.22213333333333329</v>
      </c>
      <c r="O75" s="14"/>
      <c r="P75" s="2">
        <f>SUM(OSRRefP22_2x_0)</f>
        <v>6643.87</v>
      </c>
      <c r="Q75" s="2"/>
      <c r="R75" s="6">
        <f t="shared" si="16"/>
        <v>1.2788107514071754E-3</v>
      </c>
      <c r="S75" s="2"/>
      <c r="T75" s="2">
        <f>SUM(OSRRefT22_2x_0)</f>
        <v>5800</v>
      </c>
      <c r="U75" s="2"/>
      <c r="V75" s="6">
        <f t="shared" si="17"/>
        <v>7.737736621319973E-4</v>
      </c>
      <c r="W75" s="2"/>
      <c r="X75" s="2">
        <f t="shared" si="18"/>
        <v>843.86999999999989</v>
      </c>
      <c r="Y75" s="2"/>
      <c r="Z75" s="6">
        <f t="shared" si="19"/>
        <v>0.14549482758620688</v>
      </c>
    </row>
    <row r="76" spans="1:26" s="70" customFormat="1" ht="15" hidden="1" customHeight="1" outlineLevel="2" x14ac:dyDescent="0.3">
      <c r="A76" s="26"/>
      <c r="B76" s="12" t="str">
        <f>CONCATENATE("          ","6362"," - ","ADVERTISING EXPENSE")</f>
        <v xml:space="preserve">          6362 - ADVERTISING EXPENSE</v>
      </c>
      <c r="C76" s="12"/>
      <c r="D76" s="8">
        <v>366.64</v>
      </c>
      <c r="E76" s="3"/>
      <c r="F76" s="7">
        <f t="shared" si="12"/>
        <v>4.7085665217170305E-4</v>
      </c>
      <c r="G76" s="3"/>
      <c r="H76" s="8">
        <v>300</v>
      </c>
      <c r="I76" s="3"/>
      <c r="J76" s="7">
        <f t="shared" si="13"/>
        <v>5.4762313306146886E-4</v>
      </c>
      <c r="K76" s="3"/>
      <c r="L76" s="8">
        <f t="shared" si="14"/>
        <v>66.639999999999986</v>
      </c>
      <c r="M76" s="3"/>
      <c r="N76" s="7">
        <f t="shared" si="15"/>
        <v>0.22213333333333329</v>
      </c>
      <c r="O76" s="12"/>
      <c r="P76" s="8">
        <v>6643.87</v>
      </c>
      <c r="Q76" s="3"/>
      <c r="R76" s="7">
        <f t="shared" si="16"/>
        <v>1.2788107514071754E-3</v>
      </c>
      <c r="S76" s="3"/>
      <c r="T76" s="8">
        <v>5800</v>
      </c>
      <c r="U76" s="3"/>
      <c r="V76" s="7">
        <f t="shared" si="17"/>
        <v>7.737736621319973E-4</v>
      </c>
      <c r="W76" s="3"/>
      <c r="X76" s="8">
        <f t="shared" si="18"/>
        <v>843.86999999999989</v>
      </c>
      <c r="Y76" s="3"/>
      <c r="Z76" s="7">
        <f t="shared" si="19"/>
        <v>0.14549482758620688</v>
      </c>
    </row>
    <row r="77" spans="1:26" s="69" customFormat="1" ht="15" customHeight="1" outlineLevel="1" collapsed="1" x14ac:dyDescent="0.3">
      <c r="A77" s="25"/>
      <c r="B77" s="14" t="str">
        <f>CONCATENATE("     ","Bad Debts/Over/Short                              ")</f>
        <v xml:space="preserve">     Bad Debts/Over/Short                              </v>
      </c>
      <c r="C77" s="14"/>
      <c r="D77" s="2">
        <f>SUM(OSRRefD22_3x_0)</f>
        <v>-51.1</v>
      </c>
      <c r="E77" s="2"/>
      <c r="F77" s="6">
        <f t="shared" si="12"/>
        <v>-6.5625067984873518E-5</v>
      </c>
      <c r="G77" s="2"/>
      <c r="H77" s="2">
        <f>SUM(OSRRefH22_3x_0)</f>
        <v>235</v>
      </c>
      <c r="I77" s="2"/>
      <c r="J77" s="6">
        <f t="shared" si="13"/>
        <v>4.2897145423148397E-4</v>
      </c>
      <c r="K77" s="2"/>
      <c r="L77" s="2">
        <f t="shared" si="14"/>
        <v>-286.10000000000002</v>
      </c>
      <c r="M77" s="2"/>
      <c r="N77" s="6">
        <f t="shared" si="15"/>
        <v>-1.2174468085106385</v>
      </c>
      <c r="O77" s="14"/>
      <c r="P77" s="2">
        <f>SUM(OSRRefP22_3x_0)</f>
        <v>99.68</v>
      </c>
      <c r="Q77" s="2"/>
      <c r="R77" s="6">
        <f t="shared" si="16"/>
        <v>1.9186386202660085E-5</v>
      </c>
      <c r="S77" s="2"/>
      <c r="T77" s="2">
        <f>SUM(OSRRefT22_3x_0)</f>
        <v>1880</v>
      </c>
      <c r="U77" s="2"/>
      <c r="V77" s="6">
        <f t="shared" si="17"/>
        <v>2.5080939393244049E-4</v>
      </c>
      <c r="W77" s="2"/>
      <c r="X77" s="2">
        <f t="shared" si="18"/>
        <v>-1780.32</v>
      </c>
      <c r="Y77" s="2"/>
      <c r="Z77" s="6">
        <f t="shared" si="19"/>
        <v>-0.94697872340425526</v>
      </c>
    </row>
    <row r="78" spans="1:26" s="70" customFormat="1" ht="15" hidden="1" customHeight="1" outlineLevel="2" x14ac:dyDescent="0.3">
      <c r="A78" s="26"/>
      <c r="B78" s="12" t="str">
        <f>CONCATENATE("          ","6272"," - ","CASH (OVER/SHORT)")</f>
        <v xml:space="preserve">          6272 - CASH (OVER/SHORT)</v>
      </c>
      <c r="C78" s="12"/>
      <c r="D78" s="8">
        <v>-51.1</v>
      </c>
      <c r="E78" s="3"/>
      <c r="F78" s="7">
        <f t="shared" si="12"/>
        <v>-6.5625067984873518E-5</v>
      </c>
      <c r="G78" s="3"/>
      <c r="H78" s="8">
        <v>235</v>
      </c>
      <c r="I78" s="3"/>
      <c r="J78" s="7">
        <f t="shared" si="13"/>
        <v>4.2897145423148397E-4</v>
      </c>
      <c r="K78" s="3"/>
      <c r="L78" s="8">
        <f t="shared" si="14"/>
        <v>-286.10000000000002</v>
      </c>
      <c r="M78" s="3"/>
      <c r="N78" s="7">
        <f t="shared" si="15"/>
        <v>-1.2174468085106385</v>
      </c>
      <c r="O78" s="12"/>
      <c r="P78" s="8">
        <v>99.68</v>
      </c>
      <c r="Q78" s="3"/>
      <c r="R78" s="7">
        <f t="shared" si="16"/>
        <v>1.9186386202660085E-5</v>
      </c>
      <c r="S78" s="3"/>
      <c r="T78" s="8">
        <v>1880</v>
      </c>
      <c r="U78" s="3"/>
      <c r="V78" s="7">
        <f t="shared" si="17"/>
        <v>2.5080939393244049E-4</v>
      </c>
      <c r="W78" s="3"/>
      <c r="X78" s="8">
        <f t="shared" si="18"/>
        <v>-1780.32</v>
      </c>
      <c r="Y78" s="3"/>
      <c r="Z78" s="7">
        <f t="shared" si="19"/>
        <v>-0.94697872340425526</v>
      </c>
    </row>
    <row r="79" spans="1:26" s="69" customFormat="1" ht="15" customHeight="1" outlineLevel="1" collapsed="1" x14ac:dyDescent="0.3">
      <c r="A79" s="25"/>
      <c r="B79" s="14" t="str">
        <f>CONCATENATE("     ","Bank/card Fees                                    ")</f>
        <v xml:space="preserve">     Bank/card Fees                                    </v>
      </c>
      <c r="C79" s="14"/>
      <c r="D79" s="2">
        <f>SUM(OSRRefD22_4x_0)</f>
        <v>15661.69</v>
      </c>
      <c r="E79" s="2"/>
      <c r="F79" s="6">
        <f t="shared" si="12"/>
        <v>2.0113492583327081E-2</v>
      </c>
      <c r="G79" s="2"/>
      <c r="H79" s="2">
        <f>SUM(OSRRefH22_4x_0)</f>
        <v>9656</v>
      </c>
      <c r="I79" s="2"/>
      <c r="J79" s="6">
        <f t="shared" si="13"/>
        <v>1.7626163242805144E-2</v>
      </c>
      <c r="K79" s="2"/>
      <c r="L79" s="2">
        <f t="shared" si="14"/>
        <v>6005.6900000000005</v>
      </c>
      <c r="M79" s="2"/>
      <c r="N79" s="6">
        <f t="shared" si="15"/>
        <v>0.62196458160729085</v>
      </c>
      <c r="O79" s="14"/>
      <c r="P79" s="2">
        <f>SUM(OSRRefP22_4x_0)</f>
        <v>95284.82</v>
      </c>
      <c r="Q79" s="2"/>
      <c r="R79" s="6">
        <f t="shared" si="16"/>
        <v>1.8340402846819318E-2</v>
      </c>
      <c r="S79" s="2"/>
      <c r="T79" s="2">
        <f>SUM(OSRRefT22_4x_0)</f>
        <v>145638</v>
      </c>
      <c r="U79" s="2"/>
      <c r="V79" s="6">
        <f t="shared" si="17"/>
        <v>1.942945665613445E-2</v>
      </c>
      <c r="W79" s="2"/>
      <c r="X79" s="2">
        <f t="shared" si="18"/>
        <v>-50353.179999999993</v>
      </c>
      <c r="Y79" s="2"/>
      <c r="Z79" s="6">
        <f t="shared" si="19"/>
        <v>-0.34574204534530817</v>
      </c>
    </row>
    <row r="80" spans="1:26" s="70" customFormat="1" ht="15" hidden="1" customHeight="1" outlineLevel="2" x14ac:dyDescent="0.3">
      <c r="A80" s="26"/>
      <c r="B80" s="12" t="str">
        <f>CONCATENATE("          ","6381"," - ","BANK/CREDIT CARD FEES")</f>
        <v xml:space="preserve">          6381 - BANK/CREDIT CARD FEES</v>
      </c>
      <c r="C80" s="12"/>
      <c r="D80" s="8">
        <v>15661.69</v>
      </c>
      <c r="E80" s="3"/>
      <c r="F80" s="7">
        <f t="shared" si="12"/>
        <v>2.0113492583327081E-2</v>
      </c>
      <c r="G80" s="3"/>
      <c r="H80" s="8">
        <v>9656</v>
      </c>
      <c r="I80" s="3"/>
      <c r="J80" s="7">
        <f t="shared" si="13"/>
        <v>1.7626163242805144E-2</v>
      </c>
      <c r="K80" s="3"/>
      <c r="L80" s="8">
        <f t="shared" si="14"/>
        <v>6005.6900000000005</v>
      </c>
      <c r="M80" s="3"/>
      <c r="N80" s="7">
        <f t="shared" si="15"/>
        <v>0.62196458160729085</v>
      </c>
      <c r="O80" s="12"/>
      <c r="P80" s="8">
        <v>95284.82</v>
      </c>
      <c r="Q80" s="3"/>
      <c r="R80" s="7">
        <f t="shared" si="16"/>
        <v>1.8340402846819318E-2</v>
      </c>
      <c r="S80" s="3"/>
      <c r="T80" s="8">
        <v>145638</v>
      </c>
      <c r="U80" s="3"/>
      <c r="V80" s="7">
        <f t="shared" si="17"/>
        <v>1.942945665613445E-2</v>
      </c>
      <c r="W80" s="3"/>
      <c r="X80" s="8">
        <f t="shared" si="18"/>
        <v>-50353.179999999993</v>
      </c>
      <c r="Y80" s="3"/>
      <c r="Z80" s="7">
        <f t="shared" si="19"/>
        <v>-0.34574204534530817</v>
      </c>
    </row>
    <row r="81" spans="1:26" s="69" customFormat="1" ht="15" customHeight="1" outlineLevel="1" collapsed="1" x14ac:dyDescent="0.3">
      <c r="A81" s="25"/>
      <c r="B81" s="14" t="str">
        <f>CONCATENATE("     ","Depreciation                                      ")</f>
        <v xml:space="preserve">     Depreciation                                      </v>
      </c>
      <c r="C81" s="14"/>
      <c r="D81" s="2">
        <f>SUM(OSRRefD22_5x_0)</f>
        <v>27540.04</v>
      </c>
      <c r="E81" s="2"/>
      <c r="F81" s="6">
        <f t="shared" si="12"/>
        <v>3.5368238694836324E-2</v>
      </c>
      <c r="G81" s="2"/>
      <c r="H81" s="2">
        <f>SUM(OSRRefH22_5x_0)</f>
        <v>27419</v>
      </c>
      <c r="I81" s="2"/>
      <c r="J81" s="6">
        <f t="shared" si="13"/>
        <v>5.0050928951374717E-2</v>
      </c>
      <c r="K81" s="2"/>
      <c r="L81" s="2">
        <f t="shared" si="14"/>
        <v>121.04000000000087</v>
      </c>
      <c r="M81" s="2"/>
      <c r="N81" s="6">
        <f t="shared" si="15"/>
        <v>4.4144571282687508E-3</v>
      </c>
      <c r="O81" s="14"/>
      <c r="P81" s="2">
        <f>SUM(OSRRefP22_5x_0)</f>
        <v>239896.56</v>
      </c>
      <c r="Q81" s="2"/>
      <c r="R81" s="6">
        <f t="shared" si="16"/>
        <v>4.617524126052986E-2</v>
      </c>
      <c r="S81" s="2"/>
      <c r="T81" s="2">
        <f>SUM(OSRRefT22_5x_0)</f>
        <v>238929</v>
      </c>
      <c r="U81" s="2"/>
      <c r="V81" s="6">
        <f t="shared" si="17"/>
        <v>3.187533919302344E-2</v>
      </c>
      <c r="W81" s="2"/>
      <c r="X81" s="2">
        <f t="shared" si="18"/>
        <v>967.55999999999767</v>
      </c>
      <c r="Y81" s="2"/>
      <c r="Z81" s="6">
        <f t="shared" si="19"/>
        <v>4.0495712115314495E-3</v>
      </c>
    </row>
    <row r="82" spans="1:26" s="70" customFormat="1" ht="15" hidden="1" customHeight="1" outlineLevel="2" x14ac:dyDescent="0.3">
      <c r="A82" s="26"/>
      <c r="B82" s="12" t="str">
        <f>CONCATENATE("          ","6321"," - ","BUILDING DEPRECIATION")</f>
        <v xml:space="preserve">          6321 - BUILDING DEPRECIATION</v>
      </c>
      <c r="C82" s="12"/>
      <c r="D82" s="8">
        <v>13321.71</v>
      </c>
      <c r="E82" s="3"/>
      <c r="F82" s="7">
        <f t="shared" si="12"/>
        <v>1.710837816878218E-2</v>
      </c>
      <c r="G82" s="3"/>
      <c r="H82" s="8"/>
      <c r="I82" s="3"/>
      <c r="J82" s="7">
        <f t="shared" si="13"/>
        <v>0</v>
      </c>
      <c r="K82" s="3"/>
      <c r="L82" s="8">
        <f t="shared" si="14"/>
        <v>13321.71</v>
      </c>
      <c r="M82" s="3"/>
      <c r="N82" s="7">
        <f t="shared" si="15"/>
        <v>0</v>
      </c>
      <c r="O82" s="12"/>
      <c r="P82" s="8">
        <v>125832.42</v>
      </c>
      <c r="Q82" s="3"/>
      <c r="R82" s="7">
        <f t="shared" si="16"/>
        <v>2.4220198705209958E-2</v>
      </c>
      <c r="S82" s="3"/>
      <c r="T82" s="8"/>
      <c r="U82" s="3"/>
      <c r="V82" s="7">
        <f t="shared" si="17"/>
        <v>0</v>
      </c>
      <c r="W82" s="3"/>
      <c r="X82" s="8">
        <f t="shared" si="18"/>
        <v>125832.42</v>
      </c>
      <c r="Y82" s="3"/>
      <c r="Z82" s="7">
        <f t="shared" si="19"/>
        <v>0</v>
      </c>
    </row>
    <row r="83" spans="1:26" s="70" customFormat="1" ht="15" hidden="1" customHeight="1" outlineLevel="2" x14ac:dyDescent="0.3">
      <c r="A83" s="26"/>
      <c r="B83" s="12" t="str">
        <f>CONCATENATE("          ","6322"," - ","EQUIPMENT DEPRECIATION EXPENSE")</f>
        <v xml:space="preserve">          6322 - EQUIPMENT DEPRECIATION EXPENSE</v>
      </c>
      <c r="C83" s="12"/>
      <c r="D83" s="8">
        <v>14218.33</v>
      </c>
      <c r="E83" s="3"/>
      <c r="F83" s="7">
        <f t="shared" si="12"/>
        <v>1.8259860526054144E-2</v>
      </c>
      <c r="G83" s="3"/>
      <c r="H83" s="8">
        <v>27419</v>
      </c>
      <c r="I83" s="3"/>
      <c r="J83" s="7">
        <f t="shared" si="13"/>
        <v>5.0050928951374717E-2</v>
      </c>
      <c r="K83" s="3"/>
      <c r="L83" s="8">
        <f t="shared" si="14"/>
        <v>-13200.67</v>
      </c>
      <c r="M83" s="3"/>
      <c r="N83" s="7">
        <f t="shared" si="15"/>
        <v>-0.48144243043145263</v>
      </c>
      <c r="O83" s="12"/>
      <c r="P83" s="8">
        <v>114064.14</v>
      </c>
      <c r="Q83" s="3"/>
      <c r="R83" s="7">
        <f t="shared" si="16"/>
        <v>2.1955042555319906E-2</v>
      </c>
      <c r="S83" s="3"/>
      <c r="T83" s="8">
        <v>238929</v>
      </c>
      <c r="U83" s="3"/>
      <c r="V83" s="7">
        <f t="shared" si="17"/>
        <v>3.187533919302344E-2</v>
      </c>
      <c r="W83" s="3"/>
      <c r="X83" s="8">
        <f t="shared" si="18"/>
        <v>-124864.86</v>
      </c>
      <c r="Y83" s="3"/>
      <c r="Z83" s="7">
        <f t="shared" si="19"/>
        <v>-0.52260236304508867</v>
      </c>
    </row>
    <row r="84" spans="1:26" s="69" customFormat="1" ht="15" customHeight="1" outlineLevel="1" collapsed="1" x14ac:dyDescent="0.3">
      <c r="A84" s="25"/>
      <c r="B84" s="14" t="str">
        <f>CONCATENATE("     ","Discounts and Markdowns                           ")</f>
        <v xml:space="preserve">     Discounts and Markdowns                           </v>
      </c>
      <c r="C84" s="14"/>
      <c r="D84" s="2">
        <f>SUM(OSRRefD22_6x_0)</f>
        <v>0</v>
      </c>
      <c r="E84" s="2"/>
      <c r="F84" s="6">
        <f t="shared" ref="F84:F115" si="20">IF(D$12=0,0,D84/D$12)</f>
        <v>0</v>
      </c>
      <c r="G84" s="2"/>
      <c r="H84" s="2">
        <f>SUM(OSRRefH22_6x_0)</f>
        <v>0</v>
      </c>
      <c r="I84" s="2"/>
      <c r="J84" s="6">
        <f t="shared" ref="J84:J115" si="21">IF(H$12=0,0,H84/H$12)</f>
        <v>0</v>
      </c>
      <c r="K84" s="2"/>
      <c r="L84" s="2">
        <f t="shared" ref="L84:L115" si="22">+D84-H84</f>
        <v>0</v>
      </c>
      <c r="M84" s="2"/>
      <c r="N84" s="6">
        <f t="shared" ref="N84:N115" si="23">IF(H84=0,0,L84/H84)</f>
        <v>0</v>
      </c>
      <c r="O84" s="14"/>
      <c r="P84" s="2">
        <f>SUM(OSRRefP22_6x_0)</f>
        <v>2064.5499999999997</v>
      </c>
      <c r="Q84" s="2"/>
      <c r="R84" s="6">
        <f t="shared" ref="R84:R115" si="24">IF(P$12=0,0,P84/P$12)</f>
        <v>3.973841656771857E-4</v>
      </c>
      <c r="S84" s="2"/>
      <c r="T84" s="2">
        <f>SUM(OSRRefT22_6x_0)</f>
        <v>0</v>
      </c>
      <c r="U84" s="2"/>
      <c r="V84" s="6">
        <f t="shared" ref="V84:V115" si="25">IF(T$12=0,0,T84/T$12)</f>
        <v>0</v>
      </c>
      <c r="W84" s="2"/>
      <c r="X84" s="2">
        <f t="shared" ref="X84:X115" si="26">+P84-T84</f>
        <v>2064.5499999999997</v>
      </c>
      <c r="Y84" s="2"/>
      <c r="Z84" s="6">
        <f t="shared" ref="Z84:Z115" si="27">IF(T84=0,0,X84/T84)</f>
        <v>0</v>
      </c>
    </row>
    <row r="85" spans="1:26" s="70" customFormat="1" ht="15" hidden="1" customHeight="1" outlineLevel="2" x14ac:dyDescent="0.3">
      <c r="A85" s="26"/>
      <c r="B85" s="12" t="str">
        <f>CONCATENATE("          ","6382"," - ","DISCOUNTS/MARK DOWNS")</f>
        <v xml:space="preserve">          6382 - DISCOUNTS/MARK DOWNS</v>
      </c>
      <c r="C85" s="12"/>
      <c r="D85" s="8"/>
      <c r="E85" s="3"/>
      <c r="F85" s="7">
        <f t="shared" si="20"/>
        <v>0</v>
      </c>
      <c r="G85" s="3"/>
      <c r="H85" s="8"/>
      <c r="I85" s="3"/>
      <c r="J85" s="7">
        <f t="shared" si="21"/>
        <v>0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>
        <v>2171.35</v>
      </c>
      <c r="Q85" s="3"/>
      <c r="R85" s="7">
        <f t="shared" si="24"/>
        <v>4.1794100803717869E-4</v>
      </c>
      <c r="S85" s="3"/>
      <c r="T85" s="8">
        <v>0</v>
      </c>
      <c r="U85" s="3"/>
      <c r="V85" s="7">
        <f t="shared" si="25"/>
        <v>0</v>
      </c>
      <c r="W85" s="3"/>
      <c r="X85" s="8">
        <f t="shared" si="26"/>
        <v>2171.35</v>
      </c>
      <c r="Y85" s="3"/>
      <c r="Z85" s="7">
        <f t="shared" si="27"/>
        <v>0</v>
      </c>
    </row>
    <row r="86" spans="1:26" s="70" customFormat="1" ht="15" hidden="1" customHeight="1" outlineLevel="2" x14ac:dyDescent="0.3">
      <c r="A86" s="26"/>
      <c r="B86" s="12" t="str">
        <f>CONCATENATE("          ","9175"," - ","EARNED DISCOUNTS")</f>
        <v xml:space="preserve">          9175 - EARNED DISCOUNTS</v>
      </c>
      <c r="C86" s="12"/>
      <c r="D86" s="8">
        <v>0</v>
      </c>
      <c r="E86" s="3"/>
      <c r="F86" s="7">
        <f t="shared" si="20"/>
        <v>0</v>
      </c>
      <c r="G86" s="3"/>
      <c r="H86" s="8"/>
      <c r="I86" s="3"/>
      <c r="J86" s="7">
        <f t="shared" si="21"/>
        <v>0</v>
      </c>
      <c r="K86" s="3"/>
      <c r="L86" s="8">
        <f t="shared" si="22"/>
        <v>0</v>
      </c>
      <c r="M86" s="3"/>
      <c r="N86" s="7">
        <f t="shared" si="23"/>
        <v>0</v>
      </c>
      <c r="O86" s="12"/>
      <c r="P86" s="8">
        <v>-106.8</v>
      </c>
      <c r="Q86" s="3"/>
      <c r="R86" s="7">
        <f t="shared" si="24"/>
        <v>-2.0556842359992947E-5</v>
      </c>
      <c r="S86" s="3"/>
      <c r="T86" s="8"/>
      <c r="U86" s="3"/>
      <c r="V86" s="7">
        <f t="shared" si="25"/>
        <v>0</v>
      </c>
      <c r="W86" s="3"/>
      <c r="X86" s="8">
        <f t="shared" si="26"/>
        <v>-106.8</v>
      </c>
      <c r="Y86" s="3"/>
      <c r="Z86" s="7">
        <f t="shared" si="27"/>
        <v>0</v>
      </c>
    </row>
    <row r="87" spans="1:26" s="69" customFormat="1" ht="15" customHeight="1" outlineLevel="1" collapsed="1" x14ac:dyDescent="0.3">
      <c r="A87" s="25"/>
      <c r="B87" s="14" t="str">
        <f>CONCATENATE("     ","Donations                                         ")</f>
        <v xml:space="preserve">     Donations                                         </v>
      </c>
      <c r="C87" s="14"/>
      <c r="D87" s="2">
        <f>SUM(OSRRefD22_7x_0)</f>
        <v>2998.05</v>
      </c>
      <c r="E87" s="2"/>
      <c r="F87" s="6">
        <f t="shared" si="20"/>
        <v>3.8502394338953048E-3</v>
      </c>
      <c r="G87" s="2"/>
      <c r="H87" s="2">
        <f>SUM(OSRRefH22_7x_0)</f>
        <v>1250</v>
      </c>
      <c r="I87" s="2"/>
      <c r="J87" s="6">
        <f t="shared" si="21"/>
        <v>2.281763054422787E-3</v>
      </c>
      <c r="K87" s="2"/>
      <c r="L87" s="2">
        <f t="shared" si="22"/>
        <v>1748.0500000000002</v>
      </c>
      <c r="M87" s="2"/>
      <c r="N87" s="6">
        <f t="shared" si="23"/>
        <v>1.3984400000000001</v>
      </c>
      <c r="O87" s="14"/>
      <c r="P87" s="2">
        <f>SUM(OSRRefP22_7x_0)</f>
        <v>5818.27</v>
      </c>
      <c r="Q87" s="2"/>
      <c r="R87" s="6">
        <f t="shared" si="24"/>
        <v>1.1198994306917244E-3</v>
      </c>
      <c r="S87" s="2"/>
      <c r="T87" s="2">
        <f>SUM(OSRRefT22_7x_0)</f>
        <v>10000</v>
      </c>
      <c r="U87" s="2"/>
      <c r="V87" s="6">
        <f t="shared" si="25"/>
        <v>1.3340925209172367E-3</v>
      </c>
      <c r="W87" s="2"/>
      <c r="X87" s="2">
        <f t="shared" si="26"/>
        <v>-4181.7299999999996</v>
      </c>
      <c r="Y87" s="2"/>
      <c r="Z87" s="6">
        <f t="shared" si="27"/>
        <v>-0.41817299999999996</v>
      </c>
    </row>
    <row r="88" spans="1:26" s="70" customFormat="1" ht="15" hidden="1" customHeight="1" outlineLevel="2" x14ac:dyDescent="0.3">
      <c r="A88" s="26"/>
      <c r="B88" s="12" t="str">
        <f>CONCATENATE("          ","6399"," - ","DONATION-ON CAMPUS")</f>
        <v xml:space="preserve">          6399 - DONATION-ON CAMPUS</v>
      </c>
      <c r="C88" s="12"/>
      <c r="D88" s="8">
        <v>2998.05</v>
      </c>
      <c r="E88" s="3"/>
      <c r="F88" s="7">
        <f t="shared" si="20"/>
        <v>3.8502394338953048E-3</v>
      </c>
      <c r="G88" s="3"/>
      <c r="H88" s="8">
        <v>1250</v>
      </c>
      <c r="I88" s="3"/>
      <c r="J88" s="7">
        <f t="shared" si="21"/>
        <v>2.281763054422787E-3</v>
      </c>
      <c r="K88" s="3"/>
      <c r="L88" s="8">
        <f t="shared" si="22"/>
        <v>1748.0500000000002</v>
      </c>
      <c r="M88" s="3"/>
      <c r="N88" s="7">
        <f t="shared" si="23"/>
        <v>1.3984400000000001</v>
      </c>
      <c r="O88" s="12"/>
      <c r="P88" s="8">
        <v>5818.27</v>
      </c>
      <c r="Q88" s="3"/>
      <c r="R88" s="7">
        <f t="shared" si="24"/>
        <v>1.1198994306917244E-3</v>
      </c>
      <c r="S88" s="3"/>
      <c r="T88" s="8">
        <v>10000</v>
      </c>
      <c r="U88" s="3"/>
      <c r="V88" s="7">
        <f t="shared" si="25"/>
        <v>1.3340925209172367E-3</v>
      </c>
      <c r="W88" s="3"/>
      <c r="X88" s="8">
        <f t="shared" si="26"/>
        <v>-4181.7299999999996</v>
      </c>
      <c r="Y88" s="3"/>
      <c r="Z88" s="7">
        <f t="shared" si="27"/>
        <v>-0.41817299999999996</v>
      </c>
    </row>
    <row r="89" spans="1:26" s="69" customFormat="1" ht="15" customHeight="1" outlineLevel="1" collapsed="1" x14ac:dyDescent="0.3">
      <c r="A89" s="25"/>
      <c r="B89" s="14" t="str">
        <f>CONCATENATE("     ","Employees' Appreciation                           ")</f>
        <v xml:space="preserve">     Employees' Appreciation                           </v>
      </c>
      <c r="C89" s="14"/>
      <c r="D89" s="2">
        <f>SUM(OSRRefD22_8x_0)</f>
        <v>0</v>
      </c>
      <c r="E89" s="2"/>
      <c r="F89" s="6">
        <f t="shared" si="20"/>
        <v>0</v>
      </c>
      <c r="G89" s="2"/>
      <c r="H89" s="2">
        <f>SUM(OSRRefH22_8x_0)</f>
        <v>225</v>
      </c>
      <c r="I89" s="2"/>
      <c r="J89" s="6">
        <f t="shared" si="21"/>
        <v>4.1071734979610165E-4</v>
      </c>
      <c r="K89" s="2"/>
      <c r="L89" s="2">
        <f t="shared" si="22"/>
        <v>-225</v>
      </c>
      <c r="M89" s="2"/>
      <c r="N89" s="6">
        <f t="shared" si="23"/>
        <v>-1</v>
      </c>
      <c r="O89" s="14"/>
      <c r="P89" s="2">
        <f>SUM(OSRRefP22_8x_0)</f>
        <v>4245.1899999999996</v>
      </c>
      <c r="Q89" s="2"/>
      <c r="R89" s="6">
        <f t="shared" si="24"/>
        <v>8.1711331103200794E-4</v>
      </c>
      <c r="S89" s="2"/>
      <c r="T89" s="2">
        <f>SUM(OSRRefT22_8x_0)</f>
        <v>1800</v>
      </c>
      <c r="U89" s="2"/>
      <c r="V89" s="6">
        <f t="shared" si="25"/>
        <v>2.4013665376510261E-4</v>
      </c>
      <c r="W89" s="2"/>
      <c r="X89" s="2">
        <f t="shared" si="26"/>
        <v>2445.1899999999996</v>
      </c>
      <c r="Y89" s="2"/>
      <c r="Z89" s="6">
        <f t="shared" si="27"/>
        <v>1.3584388888888888</v>
      </c>
    </row>
    <row r="90" spans="1:26" s="70" customFormat="1" ht="15" hidden="1" customHeight="1" outlineLevel="2" x14ac:dyDescent="0.3">
      <c r="A90" s="26"/>
      <c r="B90" s="12" t="str">
        <f>CONCATENATE("          ","6277"," - ","EMPLOYEE APPRECIATION")</f>
        <v xml:space="preserve">          6277 - EMPLOYEE APPRECIATION</v>
      </c>
      <c r="C90" s="12"/>
      <c r="D90" s="8"/>
      <c r="E90" s="3"/>
      <c r="F90" s="7">
        <f t="shared" si="20"/>
        <v>0</v>
      </c>
      <c r="G90" s="3"/>
      <c r="H90" s="8">
        <v>225</v>
      </c>
      <c r="I90" s="3"/>
      <c r="J90" s="7">
        <f t="shared" si="21"/>
        <v>4.1071734979610165E-4</v>
      </c>
      <c r="K90" s="3"/>
      <c r="L90" s="8">
        <f t="shared" si="22"/>
        <v>-225</v>
      </c>
      <c r="M90" s="3"/>
      <c r="N90" s="7">
        <f t="shared" si="23"/>
        <v>-1</v>
      </c>
      <c r="O90" s="12"/>
      <c r="P90" s="8">
        <v>4245.1899999999996</v>
      </c>
      <c r="Q90" s="3"/>
      <c r="R90" s="7">
        <f t="shared" si="24"/>
        <v>8.1711331103200794E-4</v>
      </c>
      <c r="S90" s="3"/>
      <c r="T90" s="8">
        <v>1800</v>
      </c>
      <c r="U90" s="3"/>
      <c r="V90" s="7">
        <f t="shared" si="25"/>
        <v>2.4013665376510261E-4</v>
      </c>
      <c r="W90" s="3"/>
      <c r="X90" s="8">
        <f t="shared" si="26"/>
        <v>2445.1899999999996</v>
      </c>
      <c r="Y90" s="3"/>
      <c r="Z90" s="7">
        <f t="shared" si="27"/>
        <v>1.3584388888888888</v>
      </c>
    </row>
    <row r="91" spans="1:26" s="69" customFormat="1" ht="15" customHeight="1" outlineLevel="1" collapsed="1" x14ac:dyDescent="0.3">
      <c r="A91" s="25"/>
      <c r="B91" s="14" t="str">
        <f>CONCATENATE("     ","Equipment Rental                                  ")</f>
        <v xml:space="preserve">     Equipment Rental                                  </v>
      </c>
      <c r="C91" s="14"/>
      <c r="D91" s="2">
        <f>SUM(OSRRefD22_9x_0)</f>
        <v>1388.16</v>
      </c>
      <c r="E91" s="2"/>
      <c r="F91" s="6">
        <f t="shared" si="20"/>
        <v>1.7827415728744037E-3</v>
      </c>
      <c r="G91" s="2"/>
      <c r="H91" s="2">
        <f>SUM(OSRRefH22_9x_0)</f>
        <v>1700</v>
      </c>
      <c r="I91" s="2"/>
      <c r="J91" s="6">
        <f t="shared" si="21"/>
        <v>3.1031977540149904E-3</v>
      </c>
      <c r="K91" s="2"/>
      <c r="L91" s="2">
        <f t="shared" si="22"/>
        <v>-311.83999999999992</v>
      </c>
      <c r="M91" s="2"/>
      <c r="N91" s="6">
        <f t="shared" si="23"/>
        <v>-0.183435294117647</v>
      </c>
      <c r="O91" s="14"/>
      <c r="P91" s="2">
        <f>SUM(OSRRefP22_9x_0)</f>
        <v>12698.1</v>
      </c>
      <c r="Q91" s="2"/>
      <c r="R91" s="6">
        <f t="shared" si="24"/>
        <v>2.4441277150882624E-3</v>
      </c>
      <c r="S91" s="2"/>
      <c r="T91" s="2">
        <f>SUM(OSRRefT22_9x_0)</f>
        <v>13400</v>
      </c>
      <c r="U91" s="2"/>
      <c r="V91" s="6">
        <f t="shared" si="25"/>
        <v>1.7876839780290971E-3</v>
      </c>
      <c r="W91" s="2"/>
      <c r="X91" s="2">
        <f t="shared" si="26"/>
        <v>-701.89999999999964</v>
      </c>
      <c r="Y91" s="2"/>
      <c r="Z91" s="6">
        <f t="shared" si="27"/>
        <v>-5.2380597014925347E-2</v>
      </c>
    </row>
    <row r="92" spans="1:26" s="70" customFormat="1" ht="15" hidden="1" customHeight="1" outlineLevel="2" x14ac:dyDescent="0.3">
      <c r="A92" s="26"/>
      <c r="B92" s="12" t="str">
        <f>CONCATENATE("          ","6351"," - ","EQUIPMENT RENTAL")</f>
        <v xml:space="preserve">          6351 - EQUIPMENT RENTAL</v>
      </c>
      <c r="C92" s="12"/>
      <c r="D92" s="8">
        <v>1388.16</v>
      </c>
      <c r="E92" s="3"/>
      <c r="F92" s="7">
        <f t="shared" si="20"/>
        <v>1.7827415728744037E-3</v>
      </c>
      <c r="G92" s="3"/>
      <c r="H92" s="8">
        <v>1700</v>
      </c>
      <c r="I92" s="3"/>
      <c r="J92" s="7">
        <f t="shared" si="21"/>
        <v>3.1031977540149904E-3</v>
      </c>
      <c r="K92" s="3"/>
      <c r="L92" s="8">
        <f t="shared" si="22"/>
        <v>-311.83999999999992</v>
      </c>
      <c r="M92" s="3"/>
      <c r="N92" s="7">
        <f t="shared" si="23"/>
        <v>-0.183435294117647</v>
      </c>
      <c r="O92" s="12"/>
      <c r="P92" s="8">
        <v>12698.1</v>
      </c>
      <c r="Q92" s="3"/>
      <c r="R92" s="7">
        <f t="shared" si="24"/>
        <v>2.4441277150882624E-3</v>
      </c>
      <c r="S92" s="3"/>
      <c r="T92" s="8">
        <v>13400</v>
      </c>
      <c r="U92" s="3"/>
      <c r="V92" s="7">
        <f t="shared" si="25"/>
        <v>1.7876839780290971E-3</v>
      </c>
      <c r="W92" s="3"/>
      <c r="X92" s="8">
        <f t="shared" si="26"/>
        <v>-701.89999999999964</v>
      </c>
      <c r="Y92" s="3"/>
      <c r="Z92" s="7">
        <f t="shared" si="27"/>
        <v>-5.2380597014925347E-2</v>
      </c>
    </row>
    <row r="93" spans="1:26" s="69" customFormat="1" ht="15" customHeight="1" outlineLevel="1" collapsed="1" x14ac:dyDescent="0.3">
      <c r="A93" s="25"/>
      <c r="B93" s="14" t="str">
        <f>CONCATENATE("     ","Freight out/Postage                               ")</f>
        <v xml:space="preserve">     Freight out/Postage                               </v>
      </c>
      <c r="C93" s="14"/>
      <c r="D93" s="2">
        <f>SUM(OSRRefD22_10x_0)</f>
        <v>-7059.8099999999995</v>
      </c>
      <c r="E93" s="2"/>
      <c r="F93" s="6">
        <f t="shared" si="20"/>
        <v>-9.0665462076377681E-3</v>
      </c>
      <c r="G93" s="2"/>
      <c r="H93" s="2">
        <f>SUM(OSRRefH22_10x_0)</f>
        <v>1950</v>
      </c>
      <c r="I93" s="2"/>
      <c r="J93" s="6">
        <f t="shared" si="21"/>
        <v>3.5595503648995475E-3</v>
      </c>
      <c r="K93" s="2"/>
      <c r="L93" s="2">
        <f t="shared" si="22"/>
        <v>-9009.81</v>
      </c>
      <c r="M93" s="2"/>
      <c r="N93" s="6">
        <f t="shared" si="23"/>
        <v>-4.6204153846153844</v>
      </c>
      <c r="O93" s="14"/>
      <c r="P93" s="2">
        <f>SUM(OSRRefP22_10x_0)</f>
        <v>-46507.91</v>
      </c>
      <c r="Q93" s="2"/>
      <c r="R93" s="6">
        <f t="shared" si="24"/>
        <v>-8.9518330932840794E-3</v>
      </c>
      <c r="S93" s="2"/>
      <c r="T93" s="2">
        <f>SUM(OSRRefT22_10x_0)</f>
        <v>-15000</v>
      </c>
      <c r="U93" s="2"/>
      <c r="V93" s="6">
        <f t="shared" si="25"/>
        <v>-2.001138781375855E-3</v>
      </c>
      <c r="W93" s="2"/>
      <c r="X93" s="2">
        <f t="shared" si="26"/>
        <v>-31507.910000000003</v>
      </c>
      <c r="Y93" s="2"/>
      <c r="Z93" s="6">
        <f t="shared" si="27"/>
        <v>2.1005273333333334</v>
      </c>
    </row>
    <row r="94" spans="1:26" s="70" customFormat="1" ht="15" hidden="1" customHeight="1" outlineLevel="2" x14ac:dyDescent="0.3">
      <c r="A94" s="26"/>
      <c r="B94" s="12" t="str">
        <f>CONCATENATE("          ","6305"," - ","FREIGHT OUT")</f>
        <v xml:space="preserve">          6305 - FREIGHT OUT</v>
      </c>
      <c r="C94" s="12"/>
      <c r="D94" s="8">
        <v>7594.99</v>
      </c>
      <c r="E94" s="3"/>
      <c r="F94" s="7">
        <f t="shared" si="20"/>
        <v>9.7538500018480336E-3</v>
      </c>
      <c r="G94" s="3"/>
      <c r="H94" s="8">
        <v>23850</v>
      </c>
      <c r="I94" s="3"/>
      <c r="J94" s="7">
        <f t="shared" si="21"/>
        <v>4.3536039078386775E-2</v>
      </c>
      <c r="K94" s="3"/>
      <c r="L94" s="8">
        <f t="shared" si="22"/>
        <v>-16255.01</v>
      </c>
      <c r="M94" s="3"/>
      <c r="N94" s="7">
        <f t="shared" si="23"/>
        <v>-0.68155178197064992</v>
      </c>
      <c r="O94" s="12"/>
      <c r="P94" s="8">
        <v>101731.44</v>
      </c>
      <c r="Q94" s="3"/>
      <c r="R94" s="7">
        <f t="shared" si="24"/>
        <v>1.9581246958193643E-2</v>
      </c>
      <c r="S94" s="3"/>
      <c r="T94" s="8">
        <v>139200</v>
      </c>
      <c r="U94" s="3"/>
      <c r="V94" s="7">
        <f t="shared" si="25"/>
        <v>1.8570567891167934E-2</v>
      </c>
      <c r="W94" s="3"/>
      <c r="X94" s="8">
        <f t="shared" si="26"/>
        <v>-37468.559999999998</v>
      </c>
      <c r="Y94" s="3"/>
      <c r="Z94" s="7">
        <f t="shared" si="27"/>
        <v>-0.26917068965517238</v>
      </c>
    </row>
    <row r="95" spans="1:26" s="70" customFormat="1" ht="15" hidden="1" customHeight="1" outlineLevel="2" x14ac:dyDescent="0.3">
      <c r="A95" s="26"/>
      <c r="B95" s="12" t="str">
        <f>CONCATENATE("          ","6307"," - ","POSTAGE")</f>
        <v xml:space="preserve">          6307 - POSTAGE</v>
      </c>
      <c r="C95" s="12"/>
      <c r="D95" s="8">
        <v>-14654.8</v>
      </c>
      <c r="E95" s="3"/>
      <c r="F95" s="7">
        <f t="shared" si="20"/>
        <v>-1.88203962094858E-2</v>
      </c>
      <c r="G95" s="3"/>
      <c r="H95" s="8">
        <v>-21900</v>
      </c>
      <c r="I95" s="3"/>
      <c r="J95" s="7">
        <f t="shared" si="21"/>
        <v>-3.9976488713487225E-2</v>
      </c>
      <c r="K95" s="3"/>
      <c r="L95" s="8">
        <f t="shared" si="22"/>
        <v>7245.2000000000007</v>
      </c>
      <c r="M95" s="3"/>
      <c r="N95" s="7">
        <f t="shared" si="23"/>
        <v>-0.33083105022831055</v>
      </c>
      <c r="O95" s="12"/>
      <c r="P95" s="8">
        <v>-148239.35</v>
      </c>
      <c r="Q95" s="3"/>
      <c r="R95" s="7">
        <f t="shared" si="24"/>
        <v>-2.853308005147772E-2</v>
      </c>
      <c r="S95" s="3"/>
      <c r="T95" s="8">
        <v>-154200</v>
      </c>
      <c r="U95" s="3"/>
      <c r="V95" s="7">
        <f t="shared" si="25"/>
        <v>-2.057170667254379E-2</v>
      </c>
      <c r="W95" s="3"/>
      <c r="X95" s="8">
        <f t="shared" si="26"/>
        <v>5960.6499999999942</v>
      </c>
      <c r="Y95" s="3"/>
      <c r="Z95" s="7">
        <f t="shared" si="27"/>
        <v>-3.8655317769130962E-2</v>
      </c>
    </row>
    <row r="96" spans="1:26" s="69" customFormat="1" ht="15" customHeight="1" outlineLevel="1" collapsed="1" x14ac:dyDescent="0.3">
      <c r="A96" s="25"/>
      <c r="B96" s="14" t="str">
        <f>CONCATENATE("     ","General                                           ")</f>
        <v xml:space="preserve">     General                                           </v>
      </c>
      <c r="C96" s="14"/>
      <c r="D96" s="2">
        <f>SUM(OSRRefD22_11x_0)</f>
        <v>1424.16</v>
      </c>
      <c r="E96" s="2"/>
      <c r="F96" s="6">
        <f t="shared" si="20"/>
        <v>1.8289744974821424E-3</v>
      </c>
      <c r="G96" s="2"/>
      <c r="H96" s="2">
        <f>SUM(OSRRefH22_11x_0)</f>
        <v>325</v>
      </c>
      <c r="I96" s="2"/>
      <c r="J96" s="6">
        <f t="shared" si="21"/>
        <v>5.9325839414992466E-4</v>
      </c>
      <c r="K96" s="2"/>
      <c r="L96" s="2">
        <f t="shared" si="22"/>
        <v>1099.1600000000001</v>
      </c>
      <c r="M96" s="2"/>
      <c r="N96" s="6">
        <f t="shared" si="23"/>
        <v>3.3820307692307696</v>
      </c>
      <c r="O96" s="14"/>
      <c r="P96" s="2">
        <f>SUM(OSRRefP22_11x_0)</f>
        <v>5755.35</v>
      </c>
      <c r="Q96" s="2"/>
      <c r="R96" s="6">
        <f t="shared" si="24"/>
        <v>1.1077886018406873E-3</v>
      </c>
      <c r="S96" s="2"/>
      <c r="T96" s="2">
        <f>SUM(OSRRefT22_11x_0)</f>
        <v>4350</v>
      </c>
      <c r="U96" s="2"/>
      <c r="V96" s="6">
        <f t="shared" si="25"/>
        <v>5.8033024659899794E-4</v>
      </c>
      <c r="W96" s="2"/>
      <c r="X96" s="2">
        <f t="shared" si="26"/>
        <v>1405.3500000000004</v>
      </c>
      <c r="Y96" s="2"/>
      <c r="Z96" s="6">
        <f t="shared" si="27"/>
        <v>0.32306896551724146</v>
      </c>
    </row>
    <row r="97" spans="1:26" s="70" customFormat="1" ht="15" hidden="1" customHeight="1" outlineLevel="2" x14ac:dyDescent="0.3">
      <c r="A97" s="26"/>
      <c r="B97" s="12" t="str">
        <f>CONCATENATE("          ","6276"," - ","PROPERTY TAX")</f>
        <v xml:space="preserve">          6276 - PROPERTY TAX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/>
      <c r="Q97" s="3"/>
      <c r="R97" s="7">
        <f t="shared" si="24"/>
        <v>0</v>
      </c>
      <c r="S97" s="3"/>
      <c r="T97" s="8">
        <v>1250</v>
      </c>
      <c r="U97" s="3"/>
      <c r="V97" s="7">
        <f t="shared" si="25"/>
        <v>1.6676156511465459E-4</v>
      </c>
      <c r="W97" s="3"/>
      <c r="X97" s="8">
        <f t="shared" si="26"/>
        <v>-1250</v>
      </c>
      <c r="Y97" s="3"/>
      <c r="Z97" s="7">
        <f t="shared" si="27"/>
        <v>-1</v>
      </c>
    </row>
    <row r="98" spans="1:26" s="70" customFormat="1" ht="15" hidden="1" customHeight="1" outlineLevel="2" x14ac:dyDescent="0.3">
      <c r="A98" s="26"/>
      <c r="B98" s="12" t="str">
        <f>CONCATENATE("          ","6279"," - ","GENERAL EXPENSE")</f>
        <v xml:space="preserve">          6279 - GENERAL EXPENSE</v>
      </c>
      <c r="C98" s="12"/>
      <c r="D98" s="8">
        <v>1424.16</v>
      </c>
      <c r="E98" s="3"/>
      <c r="F98" s="7">
        <f t="shared" si="20"/>
        <v>1.8289744974821424E-3</v>
      </c>
      <c r="G98" s="3"/>
      <c r="H98" s="8">
        <v>325</v>
      </c>
      <c r="I98" s="3"/>
      <c r="J98" s="7">
        <f t="shared" si="21"/>
        <v>5.9325839414992466E-4</v>
      </c>
      <c r="K98" s="3"/>
      <c r="L98" s="8">
        <f t="shared" si="22"/>
        <v>1099.1600000000001</v>
      </c>
      <c r="M98" s="3"/>
      <c r="N98" s="7">
        <f t="shared" si="23"/>
        <v>3.3820307692307696</v>
      </c>
      <c r="O98" s="12"/>
      <c r="P98" s="8">
        <v>5755.35</v>
      </c>
      <c r="Q98" s="3"/>
      <c r="R98" s="7">
        <f t="shared" si="24"/>
        <v>1.1077886018406873E-3</v>
      </c>
      <c r="S98" s="3"/>
      <c r="T98" s="8">
        <v>3100</v>
      </c>
      <c r="U98" s="3"/>
      <c r="V98" s="7">
        <f t="shared" si="25"/>
        <v>4.1356868148434336E-4</v>
      </c>
      <c r="W98" s="3"/>
      <c r="X98" s="8">
        <f t="shared" si="26"/>
        <v>2655.3500000000004</v>
      </c>
      <c r="Y98" s="3"/>
      <c r="Z98" s="7">
        <f t="shared" si="27"/>
        <v>0.85656451612903239</v>
      </c>
    </row>
    <row r="99" spans="1:26" s="69" customFormat="1" ht="15" customHeight="1" outlineLevel="1" collapsed="1" x14ac:dyDescent="0.3">
      <c r="A99" s="25"/>
      <c r="B99" s="14" t="str">
        <f>CONCATENATE("     ","Insurance                                         ")</f>
        <v xml:space="preserve">     Insurance                                         </v>
      </c>
      <c r="C99" s="14"/>
      <c r="D99" s="2">
        <f>SUM(OSRRefD22_12x_0)</f>
        <v>5494.57</v>
      </c>
      <c r="E99" s="2"/>
      <c r="F99" s="6">
        <f t="shared" si="20"/>
        <v>7.0563900156095207E-3</v>
      </c>
      <c r="G99" s="2"/>
      <c r="H99" s="2">
        <f>SUM(OSRRefH22_12x_0)</f>
        <v>5375</v>
      </c>
      <c r="I99" s="2"/>
      <c r="J99" s="6">
        <f t="shared" si="21"/>
        <v>9.811581134017984E-3</v>
      </c>
      <c r="K99" s="2"/>
      <c r="L99" s="2">
        <f t="shared" si="22"/>
        <v>119.56999999999971</v>
      </c>
      <c r="M99" s="2"/>
      <c r="N99" s="6">
        <f t="shared" si="23"/>
        <v>2.2245581395348782E-2</v>
      </c>
      <c r="O99" s="14"/>
      <c r="P99" s="2">
        <f>SUM(OSRRefP22_12x_0)</f>
        <v>43956.56</v>
      </c>
      <c r="Q99" s="2"/>
      <c r="R99" s="6">
        <f t="shared" si="24"/>
        <v>8.4607497622431783E-3</v>
      </c>
      <c r="S99" s="2"/>
      <c r="T99" s="2">
        <f>SUM(OSRRefT22_12x_0)</f>
        <v>43000</v>
      </c>
      <c r="U99" s="2"/>
      <c r="V99" s="6">
        <f t="shared" si="25"/>
        <v>5.7365978399441173E-3</v>
      </c>
      <c r="W99" s="2"/>
      <c r="X99" s="2">
        <f t="shared" si="26"/>
        <v>956.55999999999767</v>
      </c>
      <c r="Y99" s="2"/>
      <c r="Z99" s="6">
        <f t="shared" si="27"/>
        <v>2.2245581395348782E-2</v>
      </c>
    </row>
    <row r="100" spans="1:26" s="70" customFormat="1" ht="15" hidden="1" customHeight="1" outlineLevel="2" x14ac:dyDescent="0.3">
      <c r="A100" s="26"/>
      <c r="B100" s="12" t="str">
        <f>CONCATENATE("          ","6314"," - ","LIABILITY INSURANCE")</f>
        <v xml:space="preserve">          6314 - LIABILITY INSURANCE</v>
      </c>
      <c r="C100" s="12"/>
      <c r="D100" s="8">
        <v>5494.57</v>
      </c>
      <c r="E100" s="3"/>
      <c r="F100" s="7">
        <f t="shared" si="20"/>
        <v>7.0563900156095207E-3</v>
      </c>
      <c r="G100" s="3"/>
      <c r="H100" s="8">
        <v>5375</v>
      </c>
      <c r="I100" s="3"/>
      <c r="J100" s="7">
        <f t="shared" si="21"/>
        <v>9.811581134017984E-3</v>
      </c>
      <c r="K100" s="3"/>
      <c r="L100" s="8">
        <f t="shared" si="22"/>
        <v>119.56999999999971</v>
      </c>
      <c r="M100" s="3"/>
      <c r="N100" s="7">
        <f t="shared" si="23"/>
        <v>2.2245581395348782E-2</v>
      </c>
      <c r="O100" s="12"/>
      <c r="P100" s="8">
        <v>43956.56</v>
      </c>
      <c r="Q100" s="3"/>
      <c r="R100" s="7">
        <f t="shared" si="24"/>
        <v>8.4607497622431783E-3</v>
      </c>
      <c r="S100" s="3"/>
      <c r="T100" s="8">
        <v>43000</v>
      </c>
      <c r="U100" s="3"/>
      <c r="V100" s="7">
        <f t="shared" si="25"/>
        <v>5.7365978399441173E-3</v>
      </c>
      <c r="W100" s="3"/>
      <c r="X100" s="8">
        <f t="shared" si="26"/>
        <v>956.55999999999767</v>
      </c>
      <c r="Y100" s="3"/>
      <c r="Z100" s="7">
        <f t="shared" si="27"/>
        <v>2.2245581395348782E-2</v>
      </c>
    </row>
    <row r="101" spans="1:26" s="69" customFormat="1" ht="15" customHeight="1" outlineLevel="1" collapsed="1" x14ac:dyDescent="0.3">
      <c r="A101" s="25"/>
      <c r="B101" s="14" t="str">
        <f>CONCATENATE("     ","Inventory Adjustment                              ")</f>
        <v xml:space="preserve">     Inventory Adjustment                              </v>
      </c>
      <c r="C101" s="14"/>
      <c r="D101" s="2">
        <f>SUM(OSRRefD22_13x_0)</f>
        <v>5100</v>
      </c>
      <c r="E101" s="2"/>
      <c r="F101" s="6">
        <f t="shared" si="20"/>
        <v>6.549664319429647E-3</v>
      </c>
      <c r="G101" s="2"/>
      <c r="H101" s="2">
        <f>SUM(OSRRefH22_13x_0)</f>
        <v>5100</v>
      </c>
      <c r="I101" s="2"/>
      <c r="J101" s="6">
        <f t="shared" si="21"/>
        <v>9.3095932620449705E-3</v>
      </c>
      <c r="K101" s="2"/>
      <c r="L101" s="2">
        <f t="shared" si="22"/>
        <v>0</v>
      </c>
      <c r="M101" s="2"/>
      <c r="N101" s="6">
        <f t="shared" si="23"/>
        <v>0</v>
      </c>
      <c r="O101" s="14"/>
      <c r="P101" s="2">
        <f>SUM(OSRRefP22_13x_0)</f>
        <v>44800</v>
      </c>
      <c r="Q101" s="2"/>
      <c r="R101" s="6">
        <f t="shared" si="24"/>
        <v>8.6230949225438568E-3</v>
      </c>
      <c r="S101" s="2"/>
      <c r="T101" s="2">
        <f>SUM(OSRRefT22_13x_0)</f>
        <v>44800</v>
      </c>
      <c r="U101" s="2"/>
      <c r="V101" s="6">
        <f t="shared" si="25"/>
        <v>5.9767344937092202E-3</v>
      </c>
      <c r="W101" s="2"/>
      <c r="X101" s="2">
        <f t="shared" si="26"/>
        <v>0</v>
      </c>
      <c r="Y101" s="2"/>
      <c r="Z101" s="6">
        <f t="shared" si="27"/>
        <v>0</v>
      </c>
    </row>
    <row r="102" spans="1:26" s="70" customFormat="1" ht="15" hidden="1" customHeight="1" outlineLevel="2" x14ac:dyDescent="0.3">
      <c r="A102" s="26"/>
      <c r="B102" s="12" t="str">
        <f>CONCATENATE("          ","6408"," - ","INVENTORY ADJUSTMENT")</f>
        <v xml:space="preserve">          6408 - INVENTORY ADJUSTMENT</v>
      </c>
      <c r="C102" s="12"/>
      <c r="D102" s="8">
        <v>5100</v>
      </c>
      <c r="E102" s="3"/>
      <c r="F102" s="7">
        <f t="shared" si="20"/>
        <v>6.549664319429647E-3</v>
      </c>
      <c r="G102" s="3"/>
      <c r="H102" s="8">
        <v>5100</v>
      </c>
      <c r="I102" s="3"/>
      <c r="J102" s="7">
        <f t="shared" si="21"/>
        <v>9.3095932620449705E-3</v>
      </c>
      <c r="K102" s="3"/>
      <c r="L102" s="8">
        <f t="shared" si="22"/>
        <v>0</v>
      </c>
      <c r="M102" s="3"/>
      <c r="N102" s="7">
        <f t="shared" si="23"/>
        <v>0</v>
      </c>
      <c r="O102" s="12"/>
      <c r="P102" s="8">
        <v>44800</v>
      </c>
      <c r="Q102" s="3"/>
      <c r="R102" s="7">
        <f t="shared" si="24"/>
        <v>8.6230949225438568E-3</v>
      </c>
      <c r="S102" s="3"/>
      <c r="T102" s="8">
        <v>44800</v>
      </c>
      <c r="U102" s="3"/>
      <c r="V102" s="7">
        <f t="shared" si="25"/>
        <v>5.9767344937092202E-3</v>
      </c>
      <c r="W102" s="3"/>
      <c r="X102" s="8">
        <f t="shared" si="26"/>
        <v>0</v>
      </c>
      <c r="Y102" s="3"/>
      <c r="Z102" s="7">
        <f t="shared" si="27"/>
        <v>0</v>
      </c>
    </row>
    <row r="103" spans="1:26" s="69" customFormat="1" ht="15" customHeight="1" outlineLevel="1" collapsed="1" x14ac:dyDescent="0.3">
      <c r="A103" s="25"/>
      <c r="B103" s="14" t="str">
        <f>CONCATENATE("     ","Professional Services                             ")</f>
        <v xml:space="preserve">     Professional Services                             </v>
      </c>
      <c r="C103" s="14"/>
      <c r="D103" s="2">
        <f>SUM(OSRRefD22_14x_0)</f>
        <v>390</v>
      </c>
      <c r="E103" s="2"/>
      <c r="F103" s="6">
        <f t="shared" si="20"/>
        <v>5.0085668325050244E-4</v>
      </c>
      <c r="G103" s="2"/>
      <c r="H103" s="2">
        <f>SUM(OSRRefH22_14x_0)</f>
        <v>0</v>
      </c>
      <c r="I103" s="2"/>
      <c r="J103" s="6">
        <f t="shared" si="21"/>
        <v>0</v>
      </c>
      <c r="K103" s="2"/>
      <c r="L103" s="2">
        <f t="shared" si="22"/>
        <v>390</v>
      </c>
      <c r="M103" s="2"/>
      <c r="N103" s="6">
        <f t="shared" si="23"/>
        <v>0</v>
      </c>
      <c r="O103" s="14"/>
      <c r="P103" s="2">
        <f>SUM(OSRRefP22_14x_0)</f>
        <v>8576.5300000000007</v>
      </c>
      <c r="Q103" s="2"/>
      <c r="R103" s="6">
        <f t="shared" si="24"/>
        <v>1.6508087566081491E-3</v>
      </c>
      <c r="S103" s="2"/>
      <c r="T103" s="2">
        <f>SUM(OSRRefT22_14x_0)</f>
        <v>1500</v>
      </c>
      <c r="U103" s="2"/>
      <c r="V103" s="6">
        <f t="shared" si="25"/>
        <v>2.0011387813758549E-4</v>
      </c>
      <c r="W103" s="2"/>
      <c r="X103" s="2">
        <f t="shared" si="26"/>
        <v>7076.5300000000007</v>
      </c>
      <c r="Y103" s="2"/>
      <c r="Z103" s="6">
        <f t="shared" si="27"/>
        <v>4.7176866666666673</v>
      </c>
    </row>
    <row r="104" spans="1:26" s="70" customFormat="1" ht="15" hidden="1" customHeight="1" outlineLevel="2" x14ac:dyDescent="0.3">
      <c r="A104" s="26"/>
      <c r="B104" s="12" t="str">
        <f>CONCATENATE("          ","6336"," - ","PROFESSIONAL SERVICES")</f>
        <v xml:space="preserve">          6336 - PROFESSIONAL SERVICES</v>
      </c>
      <c r="C104" s="12"/>
      <c r="D104" s="8">
        <v>390</v>
      </c>
      <c r="E104" s="3"/>
      <c r="F104" s="7">
        <f t="shared" si="20"/>
        <v>5.0085668325050244E-4</v>
      </c>
      <c r="G104" s="3"/>
      <c r="H104" s="8">
        <v>0</v>
      </c>
      <c r="I104" s="3"/>
      <c r="J104" s="7">
        <f t="shared" si="21"/>
        <v>0</v>
      </c>
      <c r="K104" s="3"/>
      <c r="L104" s="8">
        <f t="shared" si="22"/>
        <v>390</v>
      </c>
      <c r="M104" s="3"/>
      <c r="N104" s="7">
        <f t="shared" si="23"/>
        <v>0</v>
      </c>
      <c r="O104" s="12"/>
      <c r="P104" s="8">
        <v>8576.5300000000007</v>
      </c>
      <c r="Q104" s="3"/>
      <c r="R104" s="7">
        <f t="shared" si="24"/>
        <v>1.6508087566081491E-3</v>
      </c>
      <c r="S104" s="3"/>
      <c r="T104" s="8">
        <v>1500</v>
      </c>
      <c r="U104" s="3"/>
      <c r="V104" s="7">
        <f t="shared" si="25"/>
        <v>2.0011387813758549E-4</v>
      </c>
      <c r="W104" s="3"/>
      <c r="X104" s="8">
        <f t="shared" si="26"/>
        <v>7076.5300000000007</v>
      </c>
      <c r="Y104" s="3"/>
      <c r="Z104" s="7">
        <f t="shared" si="27"/>
        <v>4.7176866666666673</v>
      </c>
    </row>
    <row r="105" spans="1:26" s="69" customFormat="1" ht="15" customHeight="1" outlineLevel="1" collapsed="1" x14ac:dyDescent="0.3">
      <c r="A105" s="25"/>
      <c r="B105" s="14" t="str">
        <f>CONCATENATE("     ","Rent                                              ")</f>
        <v xml:space="preserve">     Rent                                              </v>
      </c>
      <c r="C105" s="14"/>
      <c r="D105" s="2">
        <f>SUM(OSRRefD22_15x_0)</f>
        <v>6100</v>
      </c>
      <c r="E105" s="2"/>
      <c r="F105" s="6">
        <f t="shared" si="20"/>
        <v>7.833912225200166E-3</v>
      </c>
      <c r="G105" s="2"/>
      <c r="H105" s="2">
        <f>SUM(OSRRefH22_15x_0)</f>
        <v>6100</v>
      </c>
      <c r="I105" s="2"/>
      <c r="J105" s="6">
        <f t="shared" si="21"/>
        <v>1.11350037055832E-2</v>
      </c>
      <c r="K105" s="2"/>
      <c r="L105" s="2">
        <f t="shared" si="22"/>
        <v>0</v>
      </c>
      <c r="M105" s="2"/>
      <c r="N105" s="6">
        <f t="shared" si="23"/>
        <v>0</v>
      </c>
      <c r="O105" s="14"/>
      <c r="P105" s="2">
        <f>SUM(OSRRefP22_15x_0)</f>
        <v>48800</v>
      </c>
      <c r="Q105" s="2"/>
      <c r="R105" s="6">
        <f t="shared" si="24"/>
        <v>9.3930141120567023E-3</v>
      </c>
      <c r="S105" s="2"/>
      <c r="T105" s="2">
        <f>SUM(OSRRefT22_15x_0)</f>
        <v>48800</v>
      </c>
      <c r="U105" s="2"/>
      <c r="V105" s="6">
        <f t="shared" si="25"/>
        <v>6.5103715020761151E-3</v>
      </c>
      <c r="W105" s="2"/>
      <c r="X105" s="2">
        <f t="shared" si="26"/>
        <v>0</v>
      </c>
      <c r="Y105" s="2"/>
      <c r="Z105" s="6">
        <f t="shared" si="27"/>
        <v>0</v>
      </c>
    </row>
    <row r="106" spans="1:26" s="70" customFormat="1" ht="15" hidden="1" customHeight="1" outlineLevel="2" x14ac:dyDescent="0.3">
      <c r="A106" s="26"/>
      <c r="B106" s="12" t="str">
        <f>CONCATENATE("          ","6273"," - ","RENT")</f>
        <v xml:space="preserve">          6273 - RENT</v>
      </c>
      <c r="C106" s="12"/>
      <c r="D106" s="8">
        <v>6100</v>
      </c>
      <c r="E106" s="3"/>
      <c r="F106" s="7">
        <f t="shared" si="20"/>
        <v>7.833912225200166E-3</v>
      </c>
      <c r="G106" s="3"/>
      <c r="H106" s="8">
        <v>6100</v>
      </c>
      <c r="I106" s="3"/>
      <c r="J106" s="7">
        <f t="shared" si="21"/>
        <v>1.11350037055832E-2</v>
      </c>
      <c r="K106" s="3"/>
      <c r="L106" s="8">
        <f t="shared" si="22"/>
        <v>0</v>
      </c>
      <c r="M106" s="3"/>
      <c r="N106" s="7">
        <f t="shared" si="23"/>
        <v>0</v>
      </c>
      <c r="O106" s="12"/>
      <c r="P106" s="8">
        <v>48800</v>
      </c>
      <c r="Q106" s="3"/>
      <c r="R106" s="7">
        <f t="shared" si="24"/>
        <v>9.3930141120567023E-3</v>
      </c>
      <c r="S106" s="3"/>
      <c r="T106" s="8">
        <v>48800</v>
      </c>
      <c r="U106" s="3"/>
      <c r="V106" s="7">
        <f t="shared" si="25"/>
        <v>6.5103715020761151E-3</v>
      </c>
      <c r="W106" s="3"/>
      <c r="X106" s="8">
        <f t="shared" si="26"/>
        <v>0</v>
      </c>
      <c r="Y106" s="3"/>
      <c r="Z106" s="7">
        <f t="shared" si="27"/>
        <v>0</v>
      </c>
    </row>
    <row r="107" spans="1:26" s="69" customFormat="1" ht="15" customHeight="1" outlineLevel="1" collapsed="1" x14ac:dyDescent="0.3">
      <c r="A107" s="25"/>
      <c r="B107" s="14" t="str">
        <f>CONCATENATE("     ","Repair and Maintenance                            ")</f>
        <v xml:space="preserve">     Repair and Maintenance                            </v>
      </c>
      <c r="C107" s="14"/>
      <c r="D107" s="2">
        <f>SUM(OSRRefD22_16x_0)</f>
        <v>6007.6299999999992</v>
      </c>
      <c r="E107" s="2"/>
      <c r="F107" s="6">
        <f t="shared" si="20"/>
        <v>7.7152862461441424E-3</v>
      </c>
      <c r="G107" s="2"/>
      <c r="H107" s="2">
        <f>SUM(OSRRefH22_16x_0)</f>
        <v>30945</v>
      </c>
      <c r="I107" s="2"/>
      <c r="J107" s="6">
        <f t="shared" si="21"/>
        <v>5.6487326175290516E-2</v>
      </c>
      <c r="K107" s="2"/>
      <c r="L107" s="2">
        <f t="shared" si="22"/>
        <v>-24937.370000000003</v>
      </c>
      <c r="M107" s="2"/>
      <c r="N107" s="6">
        <f t="shared" si="23"/>
        <v>-0.80586104378736478</v>
      </c>
      <c r="O107" s="14"/>
      <c r="P107" s="2">
        <f>SUM(OSRRefP22_16x_0)</f>
        <v>115438</v>
      </c>
      <c r="Q107" s="2"/>
      <c r="R107" s="6">
        <f t="shared" si="24"/>
        <v>2.2219482849745932E-2</v>
      </c>
      <c r="S107" s="2"/>
      <c r="T107" s="2">
        <f>SUM(OSRRefT22_16x_0)</f>
        <v>136780</v>
      </c>
      <c r="U107" s="2"/>
      <c r="V107" s="6">
        <f t="shared" si="25"/>
        <v>1.8247717501105962E-2</v>
      </c>
      <c r="W107" s="2"/>
      <c r="X107" s="2">
        <f t="shared" si="26"/>
        <v>-21342</v>
      </c>
      <c r="Y107" s="2"/>
      <c r="Z107" s="6">
        <f t="shared" si="27"/>
        <v>-0.15603158356484867</v>
      </c>
    </row>
    <row r="108" spans="1:26" s="70" customFormat="1" ht="15" hidden="1" customHeight="1" outlineLevel="2" x14ac:dyDescent="0.3">
      <c r="A108" s="26"/>
      <c r="B108" s="12" t="str">
        <f>CONCATENATE("          ","6371"," - ","COMPUTER SOFTWARE MAINTENANCE")</f>
        <v xml:space="preserve">          6371 - COMPUTER SOFTWARE MAINTENANCE</v>
      </c>
      <c r="C108" s="12"/>
      <c r="D108" s="8"/>
      <c r="E108" s="3"/>
      <c r="F108" s="7">
        <f t="shared" si="20"/>
        <v>0</v>
      </c>
      <c r="G108" s="3"/>
      <c r="H108" s="8">
        <v>1000</v>
      </c>
      <c r="I108" s="3"/>
      <c r="J108" s="7">
        <f t="shared" si="21"/>
        <v>1.8254104435382295E-3</v>
      </c>
      <c r="K108" s="3"/>
      <c r="L108" s="8">
        <f t="shared" si="22"/>
        <v>-1000</v>
      </c>
      <c r="M108" s="3"/>
      <c r="N108" s="7">
        <f t="shared" si="23"/>
        <v>-1</v>
      </c>
      <c r="O108" s="12"/>
      <c r="P108" s="8">
        <v>62511</v>
      </c>
      <c r="Q108" s="3"/>
      <c r="R108" s="7">
        <f t="shared" si="24"/>
        <v>1.2032104613909354E-2</v>
      </c>
      <c r="S108" s="3"/>
      <c r="T108" s="8">
        <v>47100</v>
      </c>
      <c r="U108" s="3"/>
      <c r="V108" s="7">
        <f t="shared" si="25"/>
        <v>6.283575773520185E-3</v>
      </c>
      <c r="W108" s="3"/>
      <c r="X108" s="8">
        <f t="shared" si="26"/>
        <v>15411</v>
      </c>
      <c r="Y108" s="3"/>
      <c r="Z108" s="7">
        <f t="shared" si="27"/>
        <v>0.32719745222929936</v>
      </c>
    </row>
    <row r="109" spans="1:26" s="70" customFormat="1" ht="15" hidden="1" customHeight="1" outlineLevel="2" x14ac:dyDescent="0.3">
      <c r="A109" s="26"/>
      <c r="B109" s="12" t="str">
        <f>CONCATENATE("          ","6372"," - ","COMPUTER HARDWARE MAINTENANCE")</f>
        <v xml:space="preserve">          6372 - COMPUTER HARDWARE MAINTENANCE</v>
      </c>
      <c r="C109" s="12"/>
      <c r="D109" s="8"/>
      <c r="E109" s="3"/>
      <c r="F109" s="7">
        <f t="shared" si="20"/>
        <v>0</v>
      </c>
      <c r="G109" s="3"/>
      <c r="H109" s="8">
        <v>3750</v>
      </c>
      <c r="I109" s="3"/>
      <c r="J109" s="7">
        <f t="shared" si="21"/>
        <v>6.8452891632683607E-3</v>
      </c>
      <c r="K109" s="3"/>
      <c r="L109" s="8">
        <f t="shared" si="22"/>
        <v>-3750</v>
      </c>
      <c r="M109" s="3"/>
      <c r="N109" s="7">
        <f t="shared" si="23"/>
        <v>-1</v>
      </c>
      <c r="O109" s="12"/>
      <c r="P109" s="8"/>
      <c r="Q109" s="3"/>
      <c r="R109" s="7">
        <f t="shared" si="24"/>
        <v>0</v>
      </c>
      <c r="S109" s="3"/>
      <c r="T109" s="8">
        <v>26620</v>
      </c>
      <c r="U109" s="3"/>
      <c r="V109" s="7">
        <f t="shared" si="25"/>
        <v>3.5513542906816841E-3</v>
      </c>
      <c r="W109" s="3"/>
      <c r="X109" s="8">
        <f t="shared" si="26"/>
        <v>-26620</v>
      </c>
      <c r="Y109" s="3"/>
      <c r="Z109" s="7">
        <f t="shared" si="27"/>
        <v>-1</v>
      </c>
    </row>
    <row r="110" spans="1:26" s="70" customFormat="1" ht="15" hidden="1" customHeight="1" outlineLevel="2" x14ac:dyDescent="0.3">
      <c r="A110" s="26"/>
      <c r="B110" s="12" t="str">
        <f>CONCATENATE("          ","6373"," - ","MAINTENANCE CONTRACTS")</f>
        <v xml:space="preserve">          6373 - MAINTENANCE CONTRACTS</v>
      </c>
      <c r="C110" s="12"/>
      <c r="D110" s="8">
        <v>1904.31</v>
      </c>
      <c r="E110" s="3"/>
      <c r="F110" s="7">
        <f t="shared" si="20"/>
        <v>2.445606129437857E-3</v>
      </c>
      <c r="G110" s="3"/>
      <c r="H110" s="8">
        <v>26155</v>
      </c>
      <c r="I110" s="3"/>
      <c r="J110" s="7">
        <f t="shared" si="21"/>
        <v>4.7743610150742397E-2</v>
      </c>
      <c r="K110" s="3"/>
      <c r="L110" s="8">
        <f t="shared" si="22"/>
        <v>-24250.69</v>
      </c>
      <c r="M110" s="3"/>
      <c r="N110" s="7">
        <f t="shared" si="23"/>
        <v>-0.92719135920474094</v>
      </c>
      <c r="O110" s="12"/>
      <c r="P110" s="8">
        <v>17899.5</v>
      </c>
      <c r="Q110" s="3"/>
      <c r="R110" s="7">
        <f t="shared" si="24"/>
        <v>3.4452921331712895E-3</v>
      </c>
      <c r="S110" s="3"/>
      <c r="T110" s="8">
        <v>62240</v>
      </c>
      <c r="U110" s="3"/>
      <c r="V110" s="7">
        <f t="shared" si="25"/>
        <v>8.3033918501888813E-3</v>
      </c>
      <c r="W110" s="3"/>
      <c r="X110" s="8">
        <f t="shared" si="26"/>
        <v>-44340.5</v>
      </c>
      <c r="Y110" s="3"/>
      <c r="Z110" s="7">
        <f t="shared" si="27"/>
        <v>-0.71241163239074545</v>
      </c>
    </row>
    <row r="111" spans="1:26" s="70" customFormat="1" ht="15" hidden="1" customHeight="1" outlineLevel="2" x14ac:dyDescent="0.3">
      <c r="A111" s="26"/>
      <c r="B111" s="12" t="str">
        <f>CONCATENATE("          ","6375"," - ","OUTSIDE REPAIRS &amp; MAINTENANCE")</f>
        <v xml:space="preserve">          6375 - OUTSIDE REPAIRS &amp; MAINTENANCE</v>
      </c>
      <c r="C111" s="12"/>
      <c r="D111" s="8">
        <v>4103.32</v>
      </c>
      <c r="E111" s="3"/>
      <c r="F111" s="7">
        <f t="shared" si="20"/>
        <v>5.2696801167062858E-3</v>
      </c>
      <c r="G111" s="3"/>
      <c r="H111" s="8">
        <v>40</v>
      </c>
      <c r="I111" s="3"/>
      <c r="J111" s="7">
        <f t="shared" si="21"/>
        <v>7.3016417741529187E-5</v>
      </c>
      <c r="K111" s="3"/>
      <c r="L111" s="8">
        <f t="shared" si="22"/>
        <v>4063.3199999999997</v>
      </c>
      <c r="M111" s="3"/>
      <c r="N111" s="7">
        <f t="shared" si="23"/>
        <v>101.583</v>
      </c>
      <c r="O111" s="12"/>
      <c r="P111" s="8">
        <v>35027.5</v>
      </c>
      <c r="Q111" s="3"/>
      <c r="R111" s="7">
        <f t="shared" si="24"/>
        <v>6.7420861026652899E-3</v>
      </c>
      <c r="S111" s="3"/>
      <c r="T111" s="8">
        <v>820</v>
      </c>
      <c r="U111" s="3"/>
      <c r="V111" s="7">
        <f t="shared" si="25"/>
        <v>1.0939558671521341E-4</v>
      </c>
      <c r="W111" s="3"/>
      <c r="X111" s="8">
        <f t="shared" si="26"/>
        <v>34207.5</v>
      </c>
      <c r="Y111" s="3"/>
      <c r="Z111" s="7">
        <f t="shared" si="27"/>
        <v>41.716463414634148</v>
      </c>
    </row>
    <row r="112" spans="1:26" s="69" customFormat="1" ht="15" customHeight="1" outlineLevel="1" collapsed="1" x14ac:dyDescent="0.3">
      <c r="A112" s="25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2">
        <f>SUM(OSRRefD22_17x_0)</f>
        <v>4782.3600000000006</v>
      </c>
      <c r="E112" s="2"/>
      <c r="F112" s="6">
        <f t="shared" si="20"/>
        <v>6.1417358146407001E-3</v>
      </c>
      <c r="G112" s="2"/>
      <c r="H112" s="2">
        <f>SUM(OSRRefH22_17x_0)</f>
        <v>5446</v>
      </c>
      <c r="I112" s="2"/>
      <c r="J112" s="6">
        <f t="shared" si="21"/>
        <v>9.9411852755091987E-3</v>
      </c>
      <c r="K112" s="2"/>
      <c r="L112" s="2">
        <f t="shared" si="22"/>
        <v>-663.63999999999942</v>
      </c>
      <c r="M112" s="2"/>
      <c r="N112" s="6">
        <f t="shared" si="23"/>
        <v>-0.1218582445831802</v>
      </c>
      <c r="O112" s="14"/>
      <c r="P112" s="2">
        <f>SUM(OSRRefP22_17x_0)</f>
        <v>50233.790000000008</v>
      </c>
      <c r="Q112" s="2"/>
      <c r="R112" s="6">
        <f t="shared" si="24"/>
        <v>9.6689897207396097E-3</v>
      </c>
      <c r="S112" s="2"/>
      <c r="T112" s="2">
        <f>SUM(OSRRefT22_17x_0)</f>
        <v>69644</v>
      </c>
      <c r="U112" s="2"/>
      <c r="V112" s="6">
        <f t="shared" si="25"/>
        <v>9.2911539526760022E-3</v>
      </c>
      <c r="W112" s="2"/>
      <c r="X112" s="2">
        <f t="shared" si="26"/>
        <v>-19410.209999999992</v>
      </c>
      <c r="Y112" s="2"/>
      <c r="Z112" s="6">
        <f t="shared" si="27"/>
        <v>-0.27870613405318467</v>
      </c>
    </row>
    <row r="113" spans="1:26" s="70" customFormat="1" ht="15" hidden="1" customHeight="1" outlineLevel="2" x14ac:dyDescent="0.3">
      <c r="A113" s="26"/>
      <c r="B113" s="12" t="str">
        <f>CONCATENATE("          ","6252"," - ","ROYALTY DUE CSTV")</f>
        <v xml:space="preserve">          6252 - ROYALTY DUE CSTV</v>
      </c>
      <c r="C113" s="12"/>
      <c r="D113" s="8"/>
      <c r="E113" s="3"/>
      <c r="F113" s="7">
        <f t="shared" si="20"/>
        <v>0</v>
      </c>
      <c r="G113" s="3"/>
      <c r="H113" s="8">
        <v>446</v>
      </c>
      <c r="I113" s="3"/>
      <c r="J113" s="7">
        <f t="shared" si="21"/>
        <v>8.1413305781805035E-4</v>
      </c>
      <c r="K113" s="3"/>
      <c r="L113" s="8">
        <f t="shared" si="22"/>
        <v>-446</v>
      </c>
      <c r="M113" s="3"/>
      <c r="N113" s="7">
        <f t="shared" si="23"/>
        <v>-1</v>
      </c>
      <c r="O113" s="12"/>
      <c r="P113" s="8"/>
      <c r="Q113" s="3"/>
      <c r="R113" s="7">
        <f t="shared" si="24"/>
        <v>0</v>
      </c>
      <c r="S113" s="3"/>
      <c r="T113" s="8">
        <v>11497</v>
      </c>
      <c r="U113" s="3"/>
      <c r="V113" s="7">
        <f t="shared" si="25"/>
        <v>1.5338061712985469E-3</v>
      </c>
      <c r="W113" s="3"/>
      <c r="X113" s="8">
        <f t="shared" si="26"/>
        <v>-11497</v>
      </c>
      <c r="Y113" s="3"/>
      <c r="Z113" s="7">
        <f t="shared" si="27"/>
        <v>-1</v>
      </c>
    </row>
    <row r="114" spans="1:26" s="70" customFormat="1" ht="15" hidden="1" customHeight="1" outlineLevel="2" x14ac:dyDescent="0.3">
      <c r="A114" s="26"/>
      <c r="B114" s="12" t="str">
        <f>CONCATENATE("          ","6253"," - ","ROYALTY DUE ATHLETICS-LRG")</f>
        <v xml:space="preserve">          6253 - ROYALTY DUE ATHLETICS-LRG</v>
      </c>
      <c r="C114" s="12"/>
      <c r="D114" s="8"/>
      <c r="E114" s="3"/>
      <c r="F114" s="7">
        <f t="shared" si="20"/>
        <v>0</v>
      </c>
      <c r="G114" s="3"/>
      <c r="H114" s="8">
        <v>0</v>
      </c>
      <c r="I114" s="3"/>
      <c r="J114" s="7">
        <f t="shared" si="21"/>
        <v>0</v>
      </c>
      <c r="K114" s="3"/>
      <c r="L114" s="8">
        <f t="shared" si="22"/>
        <v>0</v>
      </c>
      <c r="M114" s="3"/>
      <c r="N114" s="7">
        <f t="shared" si="23"/>
        <v>0</v>
      </c>
      <c r="O114" s="12"/>
      <c r="P114" s="8">
        <v>39221.160000000003</v>
      </c>
      <c r="Q114" s="3"/>
      <c r="R114" s="7">
        <f t="shared" si="24"/>
        <v>7.5492809297383993E-3</v>
      </c>
      <c r="S114" s="3"/>
      <c r="T114" s="8">
        <v>23947</v>
      </c>
      <c r="U114" s="3"/>
      <c r="V114" s="7">
        <f t="shared" si="25"/>
        <v>3.1947513598405064E-3</v>
      </c>
      <c r="W114" s="3"/>
      <c r="X114" s="8">
        <f t="shared" si="26"/>
        <v>15274.160000000003</v>
      </c>
      <c r="Y114" s="3"/>
      <c r="Z114" s="7">
        <f t="shared" si="27"/>
        <v>0.63783187873220037</v>
      </c>
    </row>
    <row r="115" spans="1:26" s="70" customFormat="1" ht="15" hidden="1" customHeight="1" outlineLevel="2" x14ac:dyDescent="0.3">
      <c r="A115" s="26"/>
      <c r="B115" s="12" t="str">
        <f>CONCATENATE("          ","6254"," - ","ROYALTY &amp; COMMISSIONS")</f>
        <v xml:space="preserve">          6254 - ROYALTY &amp; COMMISSIONS</v>
      </c>
      <c r="C115" s="12"/>
      <c r="D115" s="8">
        <v>3147.46</v>
      </c>
      <c r="E115" s="3"/>
      <c r="F115" s="7">
        <f t="shared" si="20"/>
        <v>4.042118913496478E-3</v>
      </c>
      <c r="G115" s="3"/>
      <c r="H115" s="8">
        <v>1000</v>
      </c>
      <c r="I115" s="3"/>
      <c r="J115" s="7">
        <f t="shared" si="21"/>
        <v>1.8254104435382295E-3</v>
      </c>
      <c r="K115" s="3"/>
      <c r="L115" s="8">
        <f t="shared" si="22"/>
        <v>2147.46</v>
      </c>
      <c r="M115" s="3"/>
      <c r="N115" s="7">
        <f t="shared" si="23"/>
        <v>2.1474600000000001</v>
      </c>
      <c r="O115" s="12"/>
      <c r="P115" s="8">
        <v>3509.15</v>
      </c>
      <c r="Q115" s="3"/>
      <c r="R115" s="7">
        <f t="shared" si="24"/>
        <v>6.7544048096974951E-4</v>
      </c>
      <c r="S115" s="3"/>
      <c r="T115" s="8">
        <v>1500</v>
      </c>
      <c r="U115" s="3"/>
      <c r="V115" s="7">
        <f t="shared" si="25"/>
        <v>2.0011387813758549E-4</v>
      </c>
      <c r="W115" s="3"/>
      <c r="X115" s="8">
        <f t="shared" si="26"/>
        <v>2009.15</v>
      </c>
      <c r="Y115" s="3"/>
      <c r="Z115" s="7">
        <f t="shared" si="27"/>
        <v>1.3394333333333335</v>
      </c>
    </row>
    <row r="116" spans="1:26" s="70" customFormat="1" ht="15" hidden="1" customHeight="1" outlineLevel="2" x14ac:dyDescent="0.3">
      <c r="A116" s="26"/>
      <c r="B116" s="12" t="str">
        <f>CONCATENATE("          ","6259"," - ","ROYALTY &amp; COMMISSIONS")</f>
        <v xml:space="preserve">          6259 - ROYALTY &amp; COMMISSIONS</v>
      </c>
      <c r="C116" s="12"/>
      <c r="D116" s="8">
        <v>1634.9</v>
      </c>
      <c r="E116" s="3"/>
      <c r="F116" s="7">
        <f t="shared" ref="F116:F142" si="28">IF(D$12=0,0,D116/D$12)</f>
        <v>2.0996169011442216E-3</v>
      </c>
      <c r="G116" s="3"/>
      <c r="H116" s="8">
        <v>4000</v>
      </c>
      <c r="I116" s="3"/>
      <c r="J116" s="7">
        <f t="shared" ref="J116:J142" si="29">IF(H$12=0,0,H116/H$12)</f>
        <v>7.3016417741529182E-3</v>
      </c>
      <c r="K116" s="3"/>
      <c r="L116" s="8">
        <f t="shared" ref="L116:L142" si="30">+D116-H116</f>
        <v>-2365.1</v>
      </c>
      <c r="M116" s="3"/>
      <c r="N116" s="7">
        <f t="shared" ref="N116:N142" si="31">IF(H116=0,0,L116/H116)</f>
        <v>-0.591275</v>
      </c>
      <c r="O116" s="12"/>
      <c r="P116" s="8">
        <v>7503.48</v>
      </c>
      <c r="Q116" s="3"/>
      <c r="R116" s="7">
        <f t="shared" ref="R116:R142" si="32">IF(P$12=0,0,P116/P$12)</f>
        <v>1.4442683100314593E-3</v>
      </c>
      <c r="S116" s="3"/>
      <c r="T116" s="8">
        <v>32700</v>
      </c>
      <c r="U116" s="3"/>
      <c r="V116" s="7">
        <f t="shared" ref="V116:V142" si="33">IF(T$12=0,0,T116/T$12)</f>
        <v>4.3624825433993637E-3</v>
      </c>
      <c r="W116" s="3"/>
      <c r="X116" s="8">
        <f t="shared" ref="X116:X142" si="34">+P116-T116</f>
        <v>-25196.52</v>
      </c>
      <c r="Y116" s="3"/>
      <c r="Z116" s="7">
        <f t="shared" ref="Z116:Z142" si="35">IF(T116=0,0,X116/T116)</f>
        <v>-0.77053577981651378</v>
      </c>
    </row>
    <row r="117" spans="1:26" s="69" customFormat="1" ht="15" customHeight="1" outlineLevel="1" collapsed="1" x14ac:dyDescent="0.3">
      <c r="A117" s="25"/>
      <c r="B117" s="14" t="str">
        <f>CONCATENATE("     ","Services                                          ")</f>
        <v xml:space="preserve">     Services                                          </v>
      </c>
      <c r="C117" s="14"/>
      <c r="D117" s="2">
        <f>SUM(OSRRefD22_18x_0)</f>
        <v>7009.93</v>
      </c>
      <c r="E117" s="2"/>
      <c r="F117" s="6">
        <f t="shared" si="28"/>
        <v>9.0024879220979345E-3</v>
      </c>
      <c r="G117" s="2"/>
      <c r="H117" s="2">
        <f>SUM(OSRRefH22_18x_0)</f>
        <v>4360</v>
      </c>
      <c r="I117" s="2"/>
      <c r="J117" s="6">
        <f t="shared" si="29"/>
        <v>7.9587895338266816E-3</v>
      </c>
      <c r="K117" s="2"/>
      <c r="L117" s="2">
        <f t="shared" si="30"/>
        <v>2649.9300000000003</v>
      </c>
      <c r="M117" s="2"/>
      <c r="N117" s="6">
        <f t="shared" si="31"/>
        <v>0.60778211009174321</v>
      </c>
      <c r="O117" s="14"/>
      <c r="P117" s="2">
        <f>SUM(OSRRefP22_18x_0)</f>
        <v>47254.229999999996</v>
      </c>
      <c r="Q117" s="2"/>
      <c r="R117" s="6">
        <f t="shared" si="32"/>
        <v>9.095484615663384E-3</v>
      </c>
      <c r="S117" s="2"/>
      <c r="T117" s="2">
        <f>SUM(OSRRefT22_18x_0)</f>
        <v>35000</v>
      </c>
      <c r="U117" s="2"/>
      <c r="V117" s="6">
        <f t="shared" si="33"/>
        <v>4.6693238232103284E-3</v>
      </c>
      <c r="W117" s="2"/>
      <c r="X117" s="2">
        <f t="shared" si="34"/>
        <v>12254.229999999996</v>
      </c>
      <c r="Y117" s="2"/>
      <c r="Z117" s="6">
        <f t="shared" si="35"/>
        <v>0.35012085714285701</v>
      </c>
    </row>
    <row r="118" spans="1:26" s="70" customFormat="1" ht="15" hidden="1" customHeight="1" outlineLevel="2" x14ac:dyDescent="0.3">
      <c r="A118" s="26"/>
      <c r="B118" s="12" t="str">
        <f>CONCATENATE("          ","6282"," - ","JANITORIAL/EXTERMINATOR EXPENS")</f>
        <v xml:space="preserve">          6282 - JANITORIAL/EXTERMINATOR EXPENS</v>
      </c>
      <c r="C118" s="12"/>
      <c r="D118" s="8">
        <v>350.3</v>
      </c>
      <c r="E118" s="3"/>
      <c r="F118" s="7">
        <f t="shared" si="28"/>
        <v>4.4987204139141284E-4</v>
      </c>
      <c r="G118" s="3"/>
      <c r="H118" s="8">
        <v>4300</v>
      </c>
      <c r="I118" s="3"/>
      <c r="J118" s="7">
        <f t="shared" si="29"/>
        <v>7.8492649072143868E-3</v>
      </c>
      <c r="K118" s="3"/>
      <c r="L118" s="8">
        <f t="shared" si="30"/>
        <v>-3949.7</v>
      </c>
      <c r="M118" s="3"/>
      <c r="N118" s="7">
        <f t="shared" si="31"/>
        <v>-0.91853488372093017</v>
      </c>
      <c r="O118" s="12"/>
      <c r="P118" s="8">
        <v>2543.98</v>
      </c>
      <c r="Q118" s="3"/>
      <c r="R118" s="7">
        <f t="shared" si="32"/>
        <v>4.8966475493422148E-4</v>
      </c>
      <c r="S118" s="3"/>
      <c r="T118" s="8">
        <v>34400</v>
      </c>
      <c r="U118" s="3"/>
      <c r="V118" s="7">
        <f t="shared" si="33"/>
        <v>4.5892782719552938E-3</v>
      </c>
      <c r="W118" s="3"/>
      <c r="X118" s="8">
        <f t="shared" si="34"/>
        <v>-31856.02</v>
      </c>
      <c r="Y118" s="3"/>
      <c r="Z118" s="7">
        <f t="shared" si="35"/>
        <v>-0.92604709302325583</v>
      </c>
    </row>
    <row r="119" spans="1:26" s="70" customFormat="1" ht="15" hidden="1" customHeight="1" outlineLevel="2" x14ac:dyDescent="0.3">
      <c r="A119" s="26"/>
      <c r="B119" s="12" t="str">
        <f>CONCATENATE("          ","6284"," - ","TRASH REMOVAL EXPENSE")</f>
        <v xml:space="preserve">          6284 - TRASH REMOVAL EXPENSE</v>
      </c>
      <c r="C119" s="12"/>
      <c r="D119" s="8">
        <v>149.69999999999999</v>
      </c>
      <c r="E119" s="3"/>
      <c r="F119" s="7">
        <f t="shared" si="28"/>
        <v>1.9225191149384668E-4</v>
      </c>
      <c r="G119" s="3"/>
      <c r="H119" s="8">
        <v>60</v>
      </c>
      <c r="I119" s="3"/>
      <c r="J119" s="7">
        <f t="shared" si="29"/>
        <v>1.0952462661229377E-4</v>
      </c>
      <c r="K119" s="3"/>
      <c r="L119" s="8">
        <f t="shared" si="30"/>
        <v>89.699999999999989</v>
      </c>
      <c r="M119" s="3"/>
      <c r="N119" s="7">
        <f t="shared" si="31"/>
        <v>1.4949999999999999</v>
      </c>
      <c r="O119" s="12"/>
      <c r="P119" s="8">
        <v>1190.47</v>
      </c>
      <c r="Q119" s="3"/>
      <c r="R119" s="7">
        <f t="shared" si="32"/>
        <v>2.2914142438483899E-4</v>
      </c>
      <c r="S119" s="3"/>
      <c r="T119" s="8">
        <v>600</v>
      </c>
      <c r="U119" s="3"/>
      <c r="V119" s="7">
        <f t="shared" si="33"/>
        <v>8.0045551255034198E-5</v>
      </c>
      <c r="W119" s="3"/>
      <c r="X119" s="8">
        <f t="shared" si="34"/>
        <v>590.47</v>
      </c>
      <c r="Y119" s="3"/>
      <c r="Z119" s="7">
        <f t="shared" si="35"/>
        <v>0.98411666666666675</v>
      </c>
    </row>
    <row r="120" spans="1:26" s="70" customFormat="1" ht="15" hidden="1" customHeight="1" outlineLevel="2" x14ac:dyDescent="0.3">
      <c r="A120" s="26"/>
      <c r="B120" s="12" t="str">
        <f>CONCATENATE("          ","6285"," - ","JANITORIAL SERVICES")</f>
        <v xml:space="preserve">          6285 - JANITORIAL SERVICES</v>
      </c>
      <c r="C120" s="12"/>
      <c r="D120" s="8">
        <v>6509.93</v>
      </c>
      <c r="E120" s="3"/>
      <c r="F120" s="7">
        <f t="shared" si="28"/>
        <v>8.3603639692126745E-3</v>
      </c>
      <c r="G120" s="3"/>
      <c r="H120" s="8"/>
      <c r="I120" s="3"/>
      <c r="J120" s="7">
        <f t="shared" si="29"/>
        <v>0</v>
      </c>
      <c r="K120" s="3"/>
      <c r="L120" s="8">
        <f t="shared" si="30"/>
        <v>6509.93</v>
      </c>
      <c r="M120" s="3"/>
      <c r="N120" s="7">
        <f t="shared" si="31"/>
        <v>0</v>
      </c>
      <c r="O120" s="12"/>
      <c r="P120" s="8">
        <v>43519.78</v>
      </c>
      <c r="Q120" s="3"/>
      <c r="R120" s="7">
        <f t="shared" si="32"/>
        <v>8.3766784363443238E-3</v>
      </c>
      <c r="S120" s="3"/>
      <c r="T120" s="8"/>
      <c r="U120" s="3"/>
      <c r="V120" s="7">
        <f t="shared" si="33"/>
        <v>0</v>
      </c>
      <c r="W120" s="3"/>
      <c r="X120" s="8">
        <f t="shared" si="34"/>
        <v>43519.78</v>
      </c>
      <c r="Y120" s="3"/>
      <c r="Z120" s="7">
        <f t="shared" si="35"/>
        <v>0</v>
      </c>
    </row>
    <row r="121" spans="1:26" s="69" customFormat="1" ht="15" customHeight="1" outlineLevel="1" collapsed="1" x14ac:dyDescent="0.3">
      <c r="A121" s="25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2">
        <f>SUM(OSRRefD22_19x_0)</f>
        <v>176.99</v>
      </c>
      <c r="E121" s="2"/>
      <c r="F121" s="6">
        <f t="shared" si="28"/>
        <v>2.2729903684232417E-4</v>
      </c>
      <c r="G121" s="2"/>
      <c r="H121" s="2">
        <f>SUM(OSRRefH22_19x_0)</f>
        <v>1461</v>
      </c>
      <c r="I121" s="2"/>
      <c r="J121" s="6">
        <f t="shared" si="29"/>
        <v>2.6669246580093534E-3</v>
      </c>
      <c r="K121" s="2"/>
      <c r="L121" s="2">
        <f t="shared" si="30"/>
        <v>-1284.01</v>
      </c>
      <c r="M121" s="2"/>
      <c r="N121" s="6">
        <f t="shared" si="31"/>
        <v>-0.87885694729637232</v>
      </c>
      <c r="O121" s="14"/>
      <c r="P121" s="2">
        <f>SUM(OSRRefP22_19x_0)</f>
        <v>1870.72</v>
      </c>
      <c r="Q121" s="2"/>
      <c r="R121" s="6">
        <f t="shared" si="32"/>
        <v>3.600758065513671E-4</v>
      </c>
      <c r="S121" s="2"/>
      <c r="T121" s="2">
        <f>SUM(OSRRefT22_19x_0)</f>
        <v>10463</v>
      </c>
      <c r="U121" s="2"/>
      <c r="V121" s="6">
        <f t="shared" si="33"/>
        <v>1.3958610046357048E-3</v>
      </c>
      <c r="W121" s="2"/>
      <c r="X121" s="2">
        <f t="shared" si="34"/>
        <v>-8592.2800000000007</v>
      </c>
      <c r="Y121" s="2"/>
      <c r="Z121" s="6">
        <f t="shared" si="35"/>
        <v>-0.82120615502246019</v>
      </c>
    </row>
    <row r="122" spans="1:26" s="70" customFormat="1" ht="15" hidden="1" customHeight="1" outlineLevel="2" x14ac:dyDescent="0.3">
      <c r="A122" s="26"/>
      <c r="B122" s="12" t="str">
        <f>CONCATENATE("          ","6258"," - ","MEMBERSHIP DUES")</f>
        <v xml:space="preserve">          6258 - MEMBERSHIP DUES</v>
      </c>
      <c r="C122" s="12"/>
      <c r="D122" s="8">
        <v>176.99</v>
      </c>
      <c r="E122" s="3"/>
      <c r="F122" s="7">
        <f t="shared" si="28"/>
        <v>2.2729903684232417E-4</v>
      </c>
      <c r="G122" s="3"/>
      <c r="H122" s="8">
        <v>1300</v>
      </c>
      <c r="I122" s="3"/>
      <c r="J122" s="7">
        <f t="shared" si="29"/>
        <v>2.3730335765996986E-3</v>
      </c>
      <c r="K122" s="3"/>
      <c r="L122" s="8">
        <f t="shared" si="30"/>
        <v>-1123.01</v>
      </c>
      <c r="M122" s="3"/>
      <c r="N122" s="7">
        <f t="shared" si="31"/>
        <v>-0.86385384615384619</v>
      </c>
      <c r="O122" s="12"/>
      <c r="P122" s="8">
        <v>1870.72</v>
      </c>
      <c r="Q122" s="3"/>
      <c r="R122" s="7">
        <f t="shared" si="32"/>
        <v>3.600758065513671E-4</v>
      </c>
      <c r="S122" s="3"/>
      <c r="T122" s="8">
        <v>7795</v>
      </c>
      <c r="U122" s="3"/>
      <c r="V122" s="7">
        <f t="shared" si="33"/>
        <v>1.0399251200549861E-3</v>
      </c>
      <c r="W122" s="3"/>
      <c r="X122" s="8">
        <f t="shared" si="34"/>
        <v>-5924.28</v>
      </c>
      <c r="Y122" s="3"/>
      <c r="Z122" s="7">
        <f t="shared" si="35"/>
        <v>-0.76001026298909558</v>
      </c>
    </row>
    <row r="123" spans="1:26" s="70" customFormat="1" ht="15" hidden="1" customHeight="1" outlineLevel="2" x14ac:dyDescent="0.3">
      <c r="A123" s="26"/>
      <c r="B123" s="12" t="str">
        <f>CONCATENATE("          ","6275"," - ","SUBSCRIPTIONS")</f>
        <v xml:space="preserve">          6275 - SUBSCRIPTIONS</v>
      </c>
      <c r="C123" s="12"/>
      <c r="D123" s="8"/>
      <c r="E123" s="3"/>
      <c r="F123" s="7">
        <f t="shared" si="28"/>
        <v>0</v>
      </c>
      <c r="G123" s="3"/>
      <c r="H123" s="8">
        <v>161</v>
      </c>
      <c r="I123" s="3"/>
      <c r="J123" s="7">
        <f t="shared" si="29"/>
        <v>2.9389108140965496E-4</v>
      </c>
      <c r="K123" s="3"/>
      <c r="L123" s="8">
        <f t="shared" si="30"/>
        <v>-161</v>
      </c>
      <c r="M123" s="3"/>
      <c r="N123" s="7">
        <f t="shared" si="31"/>
        <v>-1</v>
      </c>
      <c r="O123" s="12"/>
      <c r="P123" s="8"/>
      <c r="Q123" s="3"/>
      <c r="R123" s="7">
        <f t="shared" si="32"/>
        <v>0</v>
      </c>
      <c r="S123" s="3"/>
      <c r="T123" s="8">
        <v>2668</v>
      </c>
      <c r="U123" s="3"/>
      <c r="V123" s="7">
        <f t="shared" si="33"/>
        <v>3.5593588458071872E-4</v>
      </c>
      <c r="W123" s="3"/>
      <c r="X123" s="8">
        <f t="shared" si="34"/>
        <v>-2668</v>
      </c>
      <c r="Y123" s="3"/>
      <c r="Z123" s="7">
        <f t="shared" si="35"/>
        <v>-1</v>
      </c>
    </row>
    <row r="124" spans="1:26" s="69" customFormat="1" ht="15" customHeight="1" outlineLevel="1" collapsed="1" x14ac:dyDescent="0.3">
      <c r="A124" s="25"/>
      <c r="B124" s="14" t="str">
        <f>CONCATENATE("     ","Supplies                                          ")</f>
        <v xml:space="preserve">     Supplies                                          </v>
      </c>
      <c r="C124" s="14"/>
      <c r="D124" s="2">
        <f>SUM(OSRRefD22_20x_0)</f>
        <v>19998.489999999998</v>
      </c>
      <c r="E124" s="2"/>
      <c r="F124" s="6">
        <f t="shared" si="28"/>
        <v>2.5683018901072666E-2</v>
      </c>
      <c r="G124" s="2"/>
      <c r="H124" s="2">
        <f>SUM(OSRRefH22_20x_0)</f>
        <v>13330</v>
      </c>
      <c r="I124" s="2"/>
      <c r="J124" s="6">
        <f t="shared" si="29"/>
        <v>2.43327212123646E-2</v>
      </c>
      <c r="K124" s="2"/>
      <c r="L124" s="2">
        <f t="shared" si="30"/>
        <v>6668.489999999998</v>
      </c>
      <c r="M124" s="2"/>
      <c r="N124" s="6">
        <f t="shared" si="31"/>
        <v>0.50026181545386328</v>
      </c>
      <c r="O124" s="14"/>
      <c r="P124" s="2">
        <f>SUM(OSRRefP22_20x_0)</f>
        <v>76651.839999999997</v>
      </c>
      <c r="Q124" s="2"/>
      <c r="R124" s="6">
        <f t="shared" si="32"/>
        <v>1.4753930631867057E-2</v>
      </c>
      <c r="S124" s="2"/>
      <c r="T124" s="2">
        <f>SUM(OSRRefT22_20x_0)</f>
        <v>91720</v>
      </c>
      <c r="U124" s="2"/>
      <c r="V124" s="6">
        <f t="shared" si="33"/>
        <v>1.2236296601852895E-2</v>
      </c>
      <c r="W124" s="2"/>
      <c r="X124" s="2">
        <f t="shared" si="34"/>
        <v>-15068.160000000003</v>
      </c>
      <c r="Y124" s="2"/>
      <c r="Z124" s="6">
        <f t="shared" si="35"/>
        <v>-0.16428434365460098</v>
      </c>
    </row>
    <row r="125" spans="1:26" s="70" customFormat="1" ht="15" hidden="1" customHeight="1" outlineLevel="2" x14ac:dyDescent="0.3">
      <c r="A125" s="26"/>
      <c r="B125" s="12" t="str">
        <f>CONCATENATE("          ","6234"," - ","EXPENDABLE SUPPLIES &amp; EQUIPMEN")</f>
        <v xml:space="preserve">          6234 - EXPENDABLE SUPPLIES &amp; EQUIPMEN</v>
      </c>
      <c r="C125" s="12"/>
      <c r="D125" s="8"/>
      <c r="E125" s="3"/>
      <c r="F125" s="7">
        <f t="shared" si="28"/>
        <v>0</v>
      </c>
      <c r="G125" s="3"/>
      <c r="H125" s="8">
        <v>300</v>
      </c>
      <c r="I125" s="3"/>
      <c r="J125" s="7">
        <f t="shared" si="29"/>
        <v>5.4762313306146886E-4</v>
      </c>
      <c r="K125" s="3"/>
      <c r="L125" s="8">
        <f t="shared" si="30"/>
        <v>-300</v>
      </c>
      <c r="M125" s="3"/>
      <c r="N125" s="7">
        <f t="shared" si="31"/>
        <v>-1</v>
      </c>
      <c r="O125" s="12"/>
      <c r="P125" s="8">
        <v>5289.57</v>
      </c>
      <c r="Q125" s="3"/>
      <c r="R125" s="7">
        <f t="shared" si="32"/>
        <v>1.0181353618178642E-3</v>
      </c>
      <c r="S125" s="3"/>
      <c r="T125" s="8">
        <v>1800</v>
      </c>
      <c r="U125" s="3"/>
      <c r="V125" s="7">
        <f t="shared" si="33"/>
        <v>2.4013665376510261E-4</v>
      </c>
      <c r="W125" s="3"/>
      <c r="X125" s="8">
        <f t="shared" si="34"/>
        <v>3489.5699999999997</v>
      </c>
      <c r="Y125" s="3"/>
      <c r="Z125" s="7">
        <f t="shared" si="35"/>
        <v>1.9386499999999998</v>
      </c>
    </row>
    <row r="126" spans="1:26" s="70" customFormat="1" ht="15" hidden="1" customHeight="1" outlineLevel="2" x14ac:dyDescent="0.3">
      <c r="A126" s="26"/>
      <c r="B126" s="12" t="str">
        <f>CONCATENATE("          ","6235"," - ","COVID-19 EXPENSES")</f>
        <v xml:space="preserve">          6235 - COVID-19 EXPENSES</v>
      </c>
      <c r="C126" s="12"/>
      <c r="D126" s="8"/>
      <c r="E126" s="3"/>
      <c r="F126" s="7">
        <f t="shared" si="28"/>
        <v>0</v>
      </c>
      <c r="G126" s="3"/>
      <c r="H126" s="8">
        <v>125</v>
      </c>
      <c r="I126" s="3"/>
      <c r="J126" s="7">
        <f t="shared" si="29"/>
        <v>2.2817630544227869E-4</v>
      </c>
      <c r="K126" s="3"/>
      <c r="L126" s="8">
        <f t="shared" si="30"/>
        <v>-125</v>
      </c>
      <c r="M126" s="3"/>
      <c r="N126" s="7">
        <f t="shared" si="31"/>
        <v>-1</v>
      </c>
      <c r="O126" s="12"/>
      <c r="P126" s="8">
        <v>3430.32</v>
      </c>
      <c r="Q126" s="3"/>
      <c r="R126" s="7">
        <f t="shared" si="32"/>
        <v>6.6026729854242513E-4</v>
      </c>
      <c r="S126" s="3"/>
      <c r="T126" s="8">
        <v>1000</v>
      </c>
      <c r="U126" s="3"/>
      <c r="V126" s="7">
        <f t="shared" si="33"/>
        <v>1.3340925209172366E-4</v>
      </c>
      <c r="W126" s="3"/>
      <c r="X126" s="8">
        <f t="shared" si="34"/>
        <v>2430.3200000000002</v>
      </c>
      <c r="Y126" s="3"/>
      <c r="Z126" s="7">
        <f t="shared" si="35"/>
        <v>2.43032</v>
      </c>
    </row>
    <row r="127" spans="1:26" s="70" customFormat="1" ht="15" hidden="1" customHeight="1" outlineLevel="2" x14ac:dyDescent="0.3">
      <c r="A127" s="26"/>
      <c r="B127" s="12" t="str">
        <f>CONCATENATE("          ","6237"," - ","JANITORIAL SUPPLIES")</f>
        <v xml:space="preserve">          6237 - JANITORIAL SUPPLIES</v>
      </c>
      <c r="C127" s="12"/>
      <c r="D127" s="8"/>
      <c r="E127" s="3"/>
      <c r="F127" s="7">
        <f t="shared" si="28"/>
        <v>0</v>
      </c>
      <c r="G127" s="3"/>
      <c r="H127" s="8">
        <v>10</v>
      </c>
      <c r="I127" s="3"/>
      <c r="J127" s="7">
        <f t="shared" si="29"/>
        <v>1.8254104435382297E-5</v>
      </c>
      <c r="K127" s="3"/>
      <c r="L127" s="8">
        <f t="shared" si="30"/>
        <v>-10</v>
      </c>
      <c r="M127" s="3"/>
      <c r="N127" s="7">
        <f t="shared" si="31"/>
        <v>-1</v>
      </c>
      <c r="O127" s="12"/>
      <c r="P127" s="8">
        <v>4531.17</v>
      </c>
      <c r="Q127" s="3"/>
      <c r="R127" s="7">
        <f t="shared" si="32"/>
        <v>8.7215868348622882E-4</v>
      </c>
      <c r="S127" s="3"/>
      <c r="T127" s="8">
        <v>160</v>
      </c>
      <c r="U127" s="3"/>
      <c r="V127" s="7">
        <f t="shared" si="33"/>
        <v>2.1345480334675785E-5</v>
      </c>
      <c r="W127" s="3"/>
      <c r="X127" s="8">
        <f t="shared" si="34"/>
        <v>4371.17</v>
      </c>
      <c r="Y127" s="3"/>
      <c r="Z127" s="7">
        <f t="shared" si="35"/>
        <v>27.319812500000001</v>
      </c>
    </row>
    <row r="128" spans="1:26" s="70" customFormat="1" ht="15" hidden="1" customHeight="1" outlineLevel="2" x14ac:dyDescent="0.3">
      <c r="A128" s="26"/>
      <c r="B128" s="12" t="str">
        <f>CONCATENATE("          ","6241"," - ","OFFICE EXPENSE")</f>
        <v xml:space="preserve">          6241 - OFFICE EXPENSE</v>
      </c>
      <c r="C128" s="12"/>
      <c r="D128" s="8">
        <v>3995.12</v>
      </c>
      <c r="E128" s="3"/>
      <c r="F128" s="7">
        <f t="shared" si="28"/>
        <v>5.1307244933019155E-3</v>
      </c>
      <c r="G128" s="3"/>
      <c r="H128" s="8">
        <v>720</v>
      </c>
      <c r="I128" s="3"/>
      <c r="J128" s="7">
        <f t="shared" si="29"/>
        <v>1.3142955193475253E-3</v>
      </c>
      <c r="K128" s="3"/>
      <c r="L128" s="8">
        <f t="shared" si="30"/>
        <v>3275.12</v>
      </c>
      <c r="M128" s="3"/>
      <c r="N128" s="7">
        <f t="shared" si="31"/>
        <v>4.5487777777777776</v>
      </c>
      <c r="O128" s="12"/>
      <c r="P128" s="8">
        <v>12872.85</v>
      </c>
      <c r="Q128" s="3"/>
      <c r="R128" s="7">
        <f t="shared" si="32"/>
        <v>2.4777635596801048E-3</v>
      </c>
      <c r="S128" s="3"/>
      <c r="T128" s="8">
        <v>5010</v>
      </c>
      <c r="U128" s="3"/>
      <c r="V128" s="7">
        <f t="shared" si="33"/>
        <v>6.6838035297953557E-4</v>
      </c>
      <c r="W128" s="3"/>
      <c r="X128" s="8">
        <f t="shared" si="34"/>
        <v>7862.85</v>
      </c>
      <c r="Y128" s="3"/>
      <c r="Z128" s="7">
        <f t="shared" si="35"/>
        <v>1.5694311377245509</v>
      </c>
    </row>
    <row r="129" spans="1:26" s="70" customFormat="1" ht="15" hidden="1" customHeight="1" outlineLevel="2" x14ac:dyDescent="0.3">
      <c r="A129" s="26"/>
      <c r="B129" s="12" t="str">
        <f>CONCATENATE("          ","6243"," - ","PAPER SUPPLIES")</f>
        <v xml:space="preserve">          6243 - PAPER SUPPLIES</v>
      </c>
      <c r="C129" s="12"/>
      <c r="D129" s="8">
        <v>1072.69</v>
      </c>
      <c r="E129" s="3"/>
      <c r="F129" s="7">
        <f t="shared" si="28"/>
        <v>1.3775998860409782E-3</v>
      </c>
      <c r="G129" s="3"/>
      <c r="H129" s="8">
        <v>3800</v>
      </c>
      <c r="I129" s="3"/>
      <c r="J129" s="7">
        <f t="shared" si="29"/>
        <v>6.9365596854452727E-3</v>
      </c>
      <c r="K129" s="3"/>
      <c r="L129" s="8">
        <f t="shared" si="30"/>
        <v>-2727.31</v>
      </c>
      <c r="M129" s="3"/>
      <c r="N129" s="7">
        <f t="shared" si="31"/>
        <v>-0.71771315789473678</v>
      </c>
      <c r="O129" s="12"/>
      <c r="P129" s="8">
        <v>5621.93</v>
      </c>
      <c r="Q129" s="3"/>
      <c r="R129" s="7">
        <f t="shared" si="32"/>
        <v>1.0821079472744864E-3</v>
      </c>
      <c r="S129" s="3"/>
      <c r="T129" s="8">
        <v>30200</v>
      </c>
      <c r="U129" s="3"/>
      <c r="V129" s="7">
        <f t="shared" si="33"/>
        <v>4.028959413170055E-3</v>
      </c>
      <c r="W129" s="3"/>
      <c r="X129" s="8">
        <f t="shared" si="34"/>
        <v>-24578.07</v>
      </c>
      <c r="Y129" s="3"/>
      <c r="Z129" s="7">
        <f t="shared" si="35"/>
        <v>-0.81384337748344371</v>
      </c>
    </row>
    <row r="130" spans="1:26" s="70" customFormat="1" ht="15" hidden="1" customHeight="1" outlineLevel="2" x14ac:dyDescent="0.3">
      <c r="A130" s="26"/>
      <c r="B130" s="12" t="str">
        <f>CONCATENATE("          ","6245"," - ","PRINTING")</f>
        <v xml:space="preserve">          6245 - PRINTING</v>
      </c>
      <c r="C130" s="12"/>
      <c r="D130" s="8">
        <v>502.78</v>
      </c>
      <c r="E130" s="3"/>
      <c r="F130" s="7">
        <f t="shared" si="28"/>
        <v>6.4569416206330151E-4</v>
      </c>
      <c r="G130" s="3"/>
      <c r="H130" s="8">
        <v>1600</v>
      </c>
      <c r="I130" s="3"/>
      <c r="J130" s="7">
        <f t="shared" si="29"/>
        <v>2.9206567096611673E-3</v>
      </c>
      <c r="K130" s="3"/>
      <c r="L130" s="8">
        <f t="shared" si="30"/>
        <v>-1097.22</v>
      </c>
      <c r="M130" s="3"/>
      <c r="N130" s="7">
        <f t="shared" si="31"/>
        <v>-0.68576250000000005</v>
      </c>
      <c r="O130" s="12"/>
      <c r="P130" s="8">
        <v>3304.52</v>
      </c>
      <c r="Q130" s="3"/>
      <c r="R130" s="7">
        <f t="shared" si="32"/>
        <v>6.3605334003224621E-4</v>
      </c>
      <c r="S130" s="3"/>
      <c r="T130" s="8">
        <v>7495</v>
      </c>
      <c r="U130" s="3"/>
      <c r="V130" s="7">
        <f t="shared" si="33"/>
        <v>9.9990234442746896E-4</v>
      </c>
      <c r="W130" s="3"/>
      <c r="X130" s="8">
        <f t="shared" si="34"/>
        <v>-4190.4799999999996</v>
      </c>
      <c r="Y130" s="3"/>
      <c r="Z130" s="7">
        <f t="shared" si="35"/>
        <v>-0.55910340226817867</v>
      </c>
    </row>
    <row r="131" spans="1:26" s="70" customFormat="1" ht="15" hidden="1" customHeight="1" outlineLevel="2" x14ac:dyDescent="0.3">
      <c r="A131" s="26"/>
      <c r="B131" s="12" t="str">
        <f>CONCATENATE("          ","6247"," - ","STORE SUPPLIES")</f>
        <v xml:space="preserve">          6247 - STORE SUPPLIES</v>
      </c>
      <c r="C131" s="12"/>
      <c r="D131" s="8">
        <v>14427.9</v>
      </c>
      <c r="E131" s="3"/>
      <c r="F131" s="7">
        <f t="shared" si="28"/>
        <v>1.8529000359666471E-2</v>
      </c>
      <c r="G131" s="3"/>
      <c r="H131" s="8">
        <v>6775</v>
      </c>
      <c r="I131" s="3"/>
      <c r="J131" s="7">
        <f t="shared" si="29"/>
        <v>1.2367155754971505E-2</v>
      </c>
      <c r="K131" s="3"/>
      <c r="L131" s="8">
        <f t="shared" si="30"/>
        <v>7652.9</v>
      </c>
      <c r="M131" s="3"/>
      <c r="N131" s="7">
        <f t="shared" si="31"/>
        <v>1.1295793357933579</v>
      </c>
      <c r="O131" s="12"/>
      <c r="P131" s="8">
        <v>41601.480000000003</v>
      </c>
      <c r="Q131" s="3"/>
      <c r="R131" s="7">
        <f t="shared" si="32"/>
        <v>8.0074444410337016E-3</v>
      </c>
      <c r="S131" s="3"/>
      <c r="T131" s="8">
        <v>46055</v>
      </c>
      <c r="U131" s="3"/>
      <c r="V131" s="7">
        <f t="shared" si="33"/>
        <v>6.144163105084333E-3</v>
      </c>
      <c r="W131" s="3"/>
      <c r="X131" s="8">
        <f t="shared" si="34"/>
        <v>-4453.5199999999968</v>
      </c>
      <c r="Y131" s="3"/>
      <c r="Z131" s="7">
        <f t="shared" si="35"/>
        <v>-9.6700032569753486E-2</v>
      </c>
    </row>
    <row r="132" spans="1:26" s="69" customFormat="1" ht="15" customHeight="1" outlineLevel="1" collapsed="1" x14ac:dyDescent="0.3">
      <c r="A132" s="25"/>
      <c r="B132" s="14" t="str">
        <f>CONCATENATE("     ","Telephone/Data Lines                              ")</f>
        <v xml:space="preserve">     Telephone/Data Lines                              </v>
      </c>
      <c r="C132" s="14"/>
      <c r="D132" s="2">
        <f>SUM(OSRRefD22_21x_0)</f>
        <v>1683.14</v>
      </c>
      <c r="E132" s="2"/>
      <c r="F132" s="6">
        <f t="shared" si="28"/>
        <v>2.1615690201185916E-3</v>
      </c>
      <c r="G132" s="2"/>
      <c r="H132" s="2">
        <f>SUM(OSRRefH22_21x_0)</f>
        <v>1735</v>
      </c>
      <c r="I132" s="2"/>
      <c r="J132" s="6">
        <f t="shared" si="29"/>
        <v>3.1670871195388283E-3</v>
      </c>
      <c r="K132" s="2"/>
      <c r="L132" s="2">
        <f t="shared" si="30"/>
        <v>-51.8599999999999</v>
      </c>
      <c r="M132" s="2"/>
      <c r="N132" s="6">
        <f t="shared" si="31"/>
        <v>-2.9890489913544611E-2</v>
      </c>
      <c r="O132" s="14"/>
      <c r="P132" s="2">
        <f>SUM(OSRRefP22_21x_0)</f>
        <v>14630.73</v>
      </c>
      <c r="Q132" s="2"/>
      <c r="R132" s="6">
        <f t="shared" si="32"/>
        <v>2.8161199458953145E-3</v>
      </c>
      <c r="S132" s="2"/>
      <c r="T132" s="2">
        <f>SUM(OSRRefT22_21x_0)</f>
        <v>14480</v>
      </c>
      <c r="U132" s="2"/>
      <c r="V132" s="6">
        <f t="shared" si="33"/>
        <v>1.9317659702881586E-3</v>
      </c>
      <c r="W132" s="2"/>
      <c r="X132" s="2">
        <f t="shared" si="34"/>
        <v>150.72999999999956</v>
      </c>
      <c r="Y132" s="2"/>
      <c r="Z132" s="6">
        <f t="shared" si="35"/>
        <v>1.0409530386740301E-2</v>
      </c>
    </row>
    <row r="133" spans="1:26" s="70" customFormat="1" ht="15" hidden="1" customHeight="1" outlineLevel="2" x14ac:dyDescent="0.3">
      <c r="A133" s="26"/>
      <c r="B133" s="12" t="str">
        <f>CONCATENATE("          ","6303"," - ","DATA PHONE LINES")</f>
        <v xml:space="preserve">          6303 - DATA PHONE LINES</v>
      </c>
      <c r="C133" s="12"/>
      <c r="D133" s="8"/>
      <c r="E133" s="3"/>
      <c r="F133" s="7">
        <f t="shared" si="28"/>
        <v>0</v>
      </c>
      <c r="G133" s="3"/>
      <c r="H133" s="8">
        <v>0</v>
      </c>
      <c r="I133" s="3"/>
      <c r="J133" s="7">
        <f t="shared" si="29"/>
        <v>0</v>
      </c>
      <c r="K133" s="3"/>
      <c r="L133" s="8">
        <f t="shared" si="30"/>
        <v>0</v>
      </c>
      <c r="M133" s="3"/>
      <c r="N133" s="7">
        <f t="shared" si="31"/>
        <v>0</v>
      </c>
      <c r="O133" s="12"/>
      <c r="P133" s="8">
        <v>295</v>
      </c>
      <c r="Q133" s="3"/>
      <c r="R133" s="7">
        <f t="shared" si="32"/>
        <v>5.6781540226572275E-5</v>
      </c>
      <c r="S133" s="3"/>
      <c r="T133" s="8">
        <v>0</v>
      </c>
      <c r="U133" s="3"/>
      <c r="V133" s="7">
        <f t="shared" si="33"/>
        <v>0</v>
      </c>
      <c r="W133" s="3"/>
      <c r="X133" s="8">
        <f t="shared" si="34"/>
        <v>295</v>
      </c>
      <c r="Y133" s="3"/>
      <c r="Z133" s="7">
        <f t="shared" si="35"/>
        <v>0</v>
      </c>
    </row>
    <row r="134" spans="1:26" s="70" customFormat="1" ht="15" hidden="1" customHeight="1" outlineLevel="2" x14ac:dyDescent="0.3">
      <c r="A134" s="26"/>
      <c r="B134" s="12" t="str">
        <f>CONCATENATE("          ","6309"," - ","TELEPHONE")</f>
        <v xml:space="preserve">          6309 - TELEPHONE</v>
      </c>
      <c r="C134" s="12"/>
      <c r="D134" s="8">
        <v>1683.14</v>
      </c>
      <c r="E134" s="3"/>
      <c r="F134" s="7">
        <f t="shared" si="28"/>
        <v>2.1615690201185916E-3</v>
      </c>
      <c r="G134" s="3"/>
      <c r="H134" s="8">
        <v>1735</v>
      </c>
      <c r="I134" s="3"/>
      <c r="J134" s="7">
        <f t="shared" si="29"/>
        <v>3.1670871195388283E-3</v>
      </c>
      <c r="K134" s="3"/>
      <c r="L134" s="8">
        <f t="shared" si="30"/>
        <v>-51.8599999999999</v>
      </c>
      <c r="M134" s="3"/>
      <c r="N134" s="7">
        <f t="shared" si="31"/>
        <v>-2.9890489913544611E-2</v>
      </c>
      <c r="O134" s="12"/>
      <c r="P134" s="8">
        <v>14335.73</v>
      </c>
      <c r="Q134" s="3"/>
      <c r="R134" s="7">
        <f t="shared" si="32"/>
        <v>2.7593384056687422E-3</v>
      </c>
      <c r="S134" s="3"/>
      <c r="T134" s="8">
        <v>14480</v>
      </c>
      <c r="U134" s="3"/>
      <c r="V134" s="7">
        <f t="shared" si="33"/>
        <v>1.9317659702881586E-3</v>
      </c>
      <c r="W134" s="3"/>
      <c r="X134" s="8">
        <f t="shared" si="34"/>
        <v>-144.27000000000044</v>
      </c>
      <c r="Y134" s="3"/>
      <c r="Z134" s="7">
        <f t="shared" si="35"/>
        <v>-9.9633977900552787E-3</v>
      </c>
    </row>
    <row r="135" spans="1:26" s="69" customFormat="1" ht="15" customHeight="1" outlineLevel="1" collapsed="1" x14ac:dyDescent="0.3">
      <c r="A135" s="25"/>
      <c r="B135" s="14" t="str">
        <f>CONCATENATE("     ","Training                                          ")</f>
        <v xml:space="preserve">     Training                                          </v>
      </c>
      <c r="C135" s="14"/>
      <c r="D135" s="2">
        <f>SUM(OSRRefD22_22x_0)</f>
        <v>300</v>
      </c>
      <c r="E135" s="2"/>
      <c r="F135" s="6">
        <f t="shared" si="28"/>
        <v>3.8527437173115569E-4</v>
      </c>
      <c r="G135" s="2"/>
      <c r="H135" s="2">
        <f>SUM(OSRRefH22_22x_0)</f>
        <v>2000</v>
      </c>
      <c r="I135" s="2"/>
      <c r="J135" s="6">
        <f t="shared" si="29"/>
        <v>3.6508208870764591E-3</v>
      </c>
      <c r="K135" s="2"/>
      <c r="L135" s="2">
        <f t="shared" si="30"/>
        <v>-1700</v>
      </c>
      <c r="M135" s="2"/>
      <c r="N135" s="6">
        <f t="shared" si="31"/>
        <v>-0.85</v>
      </c>
      <c r="O135" s="14"/>
      <c r="P135" s="2">
        <f>SUM(OSRRefP22_22x_0)</f>
        <v>895</v>
      </c>
      <c r="Q135" s="2"/>
      <c r="R135" s="6">
        <f t="shared" si="32"/>
        <v>1.7226941865349895E-4</v>
      </c>
      <c r="S135" s="2"/>
      <c r="T135" s="2">
        <f>SUM(OSRRefT22_22x_0)</f>
        <v>2000</v>
      </c>
      <c r="U135" s="2"/>
      <c r="V135" s="6">
        <f t="shared" si="33"/>
        <v>2.6681850418344732E-4</v>
      </c>
      <c r="W135" s="2"/>
      <c r="X135" s="2">
        <f t="shared" si="34"/>
        <v>-1105</v>
      </c>
      <c r="Y135" s="2"/>
      <c r="Z135" s="6">
        <f t="shared" si="35"/>
        <v>-0.55249999999999999</v>
      </c>
    </row>
    <row r="136" spans="1:26" s="70" customFormat="1" ht="15" hidden="1" customHeight="1" outlineLevel="2" x14ac:dyDescent="0.3">
      <c r="A136" s="26"/>
      <c r="B136" s="12" t="str">
        <f>CONCATENATE("          ","6376"," - ","TRAINING")</f>
        <v xml:space="preserve">          6376 - TRAINING</v>
      </c>
      <c r="C136" s="12"/>
      <c r="D136" s="8">
        <v>300</v>
      </c>
      <c r="E136" s="3"/>
      <c r="F136" s="7">
        <f t="shared" si="28"/>
        <v>3.8527437173115569E-4</v>
      </c>
      <c r="G136" s="3"/>
      <c r="H136" s="8">
        <v>2000</v>
      </c>
      <c r="I136" s="3"/>
      <c r="J136" s="7">
        <f t="shared" si="29"/>
        <v>3.6508208870764591E-3</v>
      </c>
      <c r="K136" s="3"/>
      <c r="L136" s="8">
        <f t="shared" si="30"/>
        <v>-1700</v>
      </c>
      <c r="M136" s="3"/>
      <c r="N136" s="7">
        <f t="shared" si="31"/>
        <v>-0.85</v>
      </c>
      <c r="O136" s="12"/>
      <c r="P136" s="8">
        <v>895</v>
      </c>
      <c r="Q136" s="3"/>
      <c r="R136" s="7">
        <f t="shared" si="32"/>
        <v>1.7226941865349895E-4</v>
      </c>
      <c r="S136" s="3"/>
      <c r="T136" s="8">
        <v>2000</v>
      </c>
      <c r="U136" s="3"/>
      <c r="V136" s="7">
        <f t="shared" si="33"/>
        <v>2.6681850418344732E-4</v>
      </c>
      <c r="W136" s="3"/>
      <c r="X136" s="8">
        <f t="shared" si="34"/>
        <v>-1105</v>
      </c>
      <c r="Y136" s="3"/>
      <c r="Z136" s="7">
        <f t="shared" si="35"/>
        <v>-0.55249999999999999</v>
      </c>
    </row>
    <row r="137" spans="1:26" s="69" customFormat="1" ht="15" customHeight="1" outlineLevel="1" collapsed="1" x14ac:dyDescent="0.3">
      <c r="A137" s="25"/>
      <c r="B137" s="14" t="str">
        <f>CONCATENATE("     ","Travel                                            ")</f>
        <v xml:space="preserve">     Travel                                            </v>
      </c>
      <c r="C137" s="14"/>
      <c r="D137" s="2">
        <f>SUM(OSRRefD22_23x_0)</f>
        <v>206.75</v>
      </c>
      <c r="E137" s="2"/>
      <c r="F137" s="6">
        <f t="shared" si="28"/>
        <v>2.6551825451805481E-4</v>
      </c>
      <c r="G137" s="2"/>
      <c r="H137" s="2">
        <f>SUM(OSRRefH22_23x_0)</f>
        <v>175</v>
      </c>
      <c r="I137" s="2"/>
      <c r="J137" s="6">
        <f t="shared" si="29"/>
        <v>3.1944682761919017E-4</v>
      </c>
      <c r="K137" s="2"/>
      <c r="L137" s="2">
        <f t="shared" si="30"/>
        <v>31.75</v>
      </c>
      <c r="M137" s="2"/>
      <c r="N137" s="6">
        <f t="shared" si="31"/>
        <v>0.18142857142857144</v>
      </c>
      <c r="O137" s="14"/>
      <c r="P137" s="2">
        <f>SUM(OSRRefP22_23x_0)</f>
        <v>1088.76</v>
      </c>
      <c r="Q137" s="2"/>
      <c r="R137" s="6">
        <f t="shared" si="32"/>
        <v>2.0956430419350112E-4</v>
      </c>
      <c r="S137" s="2"/>
      <c r="T137" s="2">
        <f>SUM(OSRRefT22_23x_0)</f>
        <v>1650</v>
      </c>
      <c r="U137" s="2"/>
      <c r="V137" s="6">
        <f t="shared" si="33"/>
        <v>2.2012526595134403E-4</v>
      </c>
      <c r="W137" s="2"/>
      <c r="X137" s="2">
        <f t="shared" si="34"/>
        <v>-561.24</v>
      </c>
      <c r="Y137" s="2"/>
      <c r="Z137" s="6">
        <f t="shared" si="35"/>
        <v>-0.34014545454545453</v>
      </c>
    </row>
    <row r="138" spans="1:26" s="70" customFormat="1" ht="15" hidden="1" customHeight="1" outlineLevel="2" x14ac:dyDescent="0.3">
      <c r="A138" s="26"/>
      <c r="B138" s="12" t="str">
        <f>CONCATENATE("          ","6292"," - ","TRAVEL/CONFERENCE")</f>
        <v xml:space="preserve">          6292 - TRAVEL/CONFERENCE</v>
      </c>
      <c r="C138" s="12"/>
      <c r="D138" s="8"/>
      <c r="E138" s="3"/>
      <c r="F138" s="7">
        <f t="shared" si="28"/>
        <v>0</v>
      </c>
      <c r="G138" s="3"/>
      <c r="H138" s="8">
        <v>125</v>
      </c>
      <c r="I138" s="3"/>
      <c r="J138" s="7">
        <f t="shared" si="29"/>
        <v>2.2817630544227869E-4</v>
      </c>
      <c r="K138" s="3"/>
      <c r="L138" s="8">
        <f t="shared" si="30"/>
        <v>-125</v>
      </c>
      <c r="M138" s="3"/>
      <c r="N138" s="7">
        <f t="shared" si="31"/>
        <v>-1</v>
      </c>
      <c r="O138" s="12"/>
      <c r="P138" s="8">
        <v>495</v>
      </c>
      <c r="Q138" s="3"/>
      <c r="R138" s="7">
        <f t="shared" si="32"/>
        <v>9.5277499702214492E-5</v>
      </c>
      <c r="S138" s="3"/>
      <c r="T138" s="8">
        <v>1000</v>
      </c>
      <c r="U138" s="3"/>
      <c r="V138" s="7">
        <f t="shared" si="33"/>
        <v>1.3340925209172366E-4</v>
      </c>
      <c r="W138" s="3"/>
      <c r="X138" s="8">
        <f t="shared" si="34"/>
        <v>-505</v>
      </c>
      <c r="Y138" s="3"/>
      <c r="Z138" s="7">
        <f t="shared" si="35"/>
        <v>-0.505</v>
      </c>
    </row>
    <row r="139" spans="1:26" s="70" customFormat="1" ht="15" hidden="1" customHeight="1" outlineLevel="2" x14ac:dyDescent="0.3">
      <c r="A139" s="26"/>
      <c r="B139" s="12" t="str">
        <f>CONCATENATE("          ","6294"," - ","TRAVEL OPERATIONAL")</f>
        <v xml:space="preserve">          6294 - TRAVEL OPERATIONAL</v>
      </c>
      <c r="C139" s="12"/>
      <c r="D139" s="8">
        <v>116.74</v>
      </c>
      <c r="E139" s="3"/>
      <c r="F139" s="7">
        <f t="shared" si="28"/>
        <v>1.4992310051965038E-4</v>
      </c>
      <c r="G139" s="3"/>
      <c r="H139" s="8">
        <v>25</v>
      </c>
      <c r="I139" s="3"/>
      <c r="J139" s="7">
        <f t="shared" si="29"/>
        <v>4.5635261088455739E-5</v>
      </c>
      <c r="K139" s="3"/>
      <c r="L139" s="8">
        <f t="shared" si="30"/>
        <v>91.74</v>
      </c>
      <c r="M139" s="3"/>
      <c r="N139" s="7">
        <f t="shared" si="31"/>
        <v>3.6696</v>
      </c>
      <c r="O139" s="12"/>
      <c r="P139" s="8">
        <v>356.67</v>
      </c>
      <c r="Q139" s="3"/>
      <c r="R139" s="7">
        <f t="shared" si="32"/>
        <v>6.8651769330886557E-5</v>
      </c>
      <c r="S139" s="3"/>
      <c r="T139" s="8">
        <v>200</v>
      </c>
      <c r="U139" s="3"/>
      <c r="V139" s="7">
        <f t="shared" si="33"/>
        <v>2.6681850418344734E-5</v>
      </c>
      <c r="W139" s="3"/>
      <c r="X139" s="8">
        <f t="shared" si="34"/>
        <v>156.67000000000002</v>
      </c>
      <c r="Y139" s="3"/>
      <c r="Z139" s="7">
        <f t="shared" si="35"/>
        <v>0.7833500000000001</v>
      </c>
    </row>
    <row r="140" spans="1:26" s="70" customFormat="1" ht="15" hidden="1" customHeight="1" outlineLevel="2" x14ac:dyDescent="0.3">
      <c r="A140" s="26"/>
      <c r="B140" s="12" t="str">
        <f>CONCATENATE("          ","6298"," - ","VEHICLE MILEAGE")</f>
        <v xml:space="preserve">          6298 - VEHICLE MILEAGE</v>
      </c>
      <c r="C140" s="12"/>
      <c r="D140" s="8">
        <v>90.01</v>
      </c>
      <c r="E140" s="3"/>
      <c r="F140" s="7">
        <f t="shared" si="28"/>
        <v>1.1559515399840442E-4</v>
      </c>
      <c r="G140" s="3"/>
      <c r="H140" s="8">
        <v>25</v>
      </c>
      <c r="I140" s="3"/>
      <c r="J140" s="7">
        <f t="shared" si="29"/>
        <v>4.5635261088455739E-5</v>
      </c>
      <c r="K140" s="3"/>
      <c r="L140" s="8">
        <f t="shared" si="30"/>
        <v>65.010000000000005</v>
      </c>
      <c r="M140" s="3"/>
      <c r="N140" s="7">
        <f t="shared" si="31"/>
        <v>2.6004</v>
      </c>
      <c r="O140" s="12"/>
      <c r="P140" s="8">
        <v>237.09</v>
      </c>
      <c r="Q140" s="3"/>
      <c r="R140" s="7">
        <f t="shared" si="32"/>
        <v>4.563503516040007E-5</v>
      </c>
      <c r="S140" s="3"/>
      <c r="T140" s="8">
        <v>450</v>
      </c>
      <c r="U140" s="3"/>
      <c r="V140" s="7">
        <f t="shared" si="33"/>
        <v>6.0034163441275652E-5</v>
      </c>
      <c r="W140" s="3"/>
      <c r="X140" s="8">
        <f t="shared" si="34"/>
        <v>-212.91</v>
      </c>
      <c r="Y140" s="3"/>
      <c r="Z140" s="7">
        <f t="shared" si="35"/>
        <v>-0.47313333333333335</v>
      </c>
    </row>
    <row r="141" spans="1:26" s="69" customFormat="1" ht="15" customHeight="1" outlineLevel="1" collapsed="1" x14ac:dyDescent="0.3">
      <c r="A141" s="25"/>
      <c r="B141" s="14" t="str">
        <f>CONCATENATE("     ","Utilities                                         ")</f>
        <v xml:space="preserve">     Utilities                                         </v>
      </c>
      <c r="C141" s="14"/>
      <c r="D141" s="2">
        <f>SUM(OSRRefD22_24x_0)</f>
        <v>6355.65</v>
      </c>
      <c r="E141" s="2"/>
      <c r="F141" s="6">
        <f t="shared" si="28"/>
        <v>8.1622302023103988E-3</v>
      </c>
      <c r="G141" s="2"/>
      <c r="H141" s="2">
        <f>SUM(OSRRefH22_24x_0)</f>
        <v>8800</v>
      </c>
      <c r="I141" s="2"/>
      <c r="J141" s="6">
        <f t="shared" si="29"/>
        <v>1.6063611903136422E-2</v>
      </c>
      <c r="K141" s="2"/>
      <c r="L141" s="2">
        <f t="shared" si="30"/>
        <v>-2444.3500000000004</v>
      </c>
      <c r="M141" s="2"/>
      <c r="N141" s="6">
        <f t="shared" si="31"/>
        <v>-0.2777670454545455</v>
      </c>
      <c r="O141" s="14"/>
      <c r="P141" s="2">
        <f>SUM(OSRRefP22_24x_0)</f>
        <v>42895.07</v>
      </c>
      <c r="Q141" s="2"/>
      <c r="R141" s="6">
        <f t="shared" si="32"/>
        <v>8.2564343821241813E-3</v>
      </c>
      <c r="S141" s="2"/>
      <c r="T141" s="2">
        <f>SUM(OSRRefT22_24x_0)</f>
        <v>51640</v>
      </c>
      <c r="U141" s="2"/>
      <c r="V141" s="6">
        <f t="shared" si="33"/>
        <v>6.88925377801661E-3</v>
      </c>
      <c r="W141" s="2"/>
      <c r="X141" s="2">
        <f t="shared" si="34"/>
        <v>-8744.93</v>
      </c>
      <c r="Y141" s="2"/>
      <c r="Z141" s="6">
        <f t="shared" si="35"/>
        <v>-0.16934411309062741</v>
      </c>
    </row>
    <row r="142" spans="1:26" s="70" customFormat="1" ht="15" hidden="1" customHeight="1" outlineLevel="2" x14ac:dyDescent="0.3">
      <c r="A142" s="26"/>
      <c r="B142" s="12" t="str">
        <f>CONCATENATE("          ","6274"," - ","UTILITIES")</f>
        <v xml:space="preserve">          6274 - UTILITIES</v>
      </c>
      <c r="C142" s="12"/>
      <c r="D142" s="8">
        <v>6355.65</v>
      </c>
      <c r="E142" s="3"/>
      <c r="F142" s="7">
        <f t="shared" si="28"/>
        <v>8.1622302023103988E-3</v>
      </c>
      <c r="G142" s="3"/>
      <c r="H142" s="8">
        <v>8800</v>
      </c>
      <c r="I142" s="3"/>
      <c r="J142" s="7">
        <f t="shared" si="29"/>
        <v>1.6063611903136422E-2</v>
      </c>
      <c r="K142" s="3"/>
      <c r="L142" s="8">
        <f t="shared" si="30"/>
        <v>-2444.3500000000004</v>
      </c>
      <c r="M142" s="3"/>
      <c r="N142" s="7">
        <f t="shared" si="31"/>
        <v>-0.2777670454545455</v>
      </c>
      <c r="O142" s="12"/>
      <c r="P142" s="8">
        <v>42895.07</v>
      </c>
      <c r="Q142" s="3"/>
      <c r="R142" s="7">
        <f t="shared" si="32"/>
        <v>8.2564343821241813E-3</v>
      </c>
      <c r="S142" s="3"/>
      <c r="T142" s="8">
        <v>51640</v>
      </c>
      <c r="U142" s="3"/>
      <c r="V142" s="7">
        <f t="shared" si="33"/>
        <v>6.88925377801661E-3</v>
      </c>
      <c r="W142" s="3"/>
      <c r="X142" s="8">
        <f t="shared" si="34"/>
        <v>-8744.93</v>
      </c>
      <c r="Y142" s="3"/>
      <c r="Z142" s="7">
        <f t="shared" si="35"/>
        <v>-0.16934411309062741</v>
      </c>
    </row>
    <row r="143" spans="1:26" s="65" customFormat="1" ht="15" customHeight="1" x14ac:dyDescent="0.3">
      <c r="A143" s="35"/>
      <c r="B143" s="35"/>
      <c r="C143" s="35"/>
      <c r="D143" s="2"/>
      <c r="E143" s="2"/>
      <c r="F143" s="6"/>
      <c r="G143" s="2"/>
      <c r="H143" s="2"/>
      <c r="I143" s="2"/>
      <c r="J143" s="6"/>
      <c r="K143" s="2"/>
      <c r="L143" s="2"/>
      <c r="M143" s="2"/>
      <c r="N143" s="6"/>
      <c r="O143" s="35"/>
      <c r="P143" s="2"/>
      <c r="Q143" s="2"/>
      <c r="R143" s="6"/>
      <c r="S143" s="2"/>
      <c r="T143" s="2"/>
      <c r="U143" s="2"/>
      <c r="V143" s="6"/>
      <c r="W143" s="2"/>
      <c r="X143" s="2"/>
      <c r="Y143" s="2"/>
      <c r="Z143" s="6"/>
    </row>
    <row r="144" spans="1:26" s="63" customFormat="1" ht="15" customHeight="1" collapsed="1" x14ac:dyDescent="0.3">
      <c r="A144" s="11"/>
      <c r="B144" s="27" t="s">
        <v>291</v>
      </c>
      <c r="C144" s="11"/>
      <c r="D144" s="5">
        <f>SUM(OSRRefD25x_0)</f>
        <v>212140.37999999998</v>
      </c>
      <c r="E144" s="5"/>
      <c r="F144" s="13">
        <f t="shared" ref="F144:F149" si="36">IF(D$12=0,0,D144/D$12)</f>
        <v>0.27244083874436209</v>
      </c>
      <c r="G144" s="5"/>
      <c r="H144" s="5">
        <f>SUM(OSRRefH25x_0)</f>
        <v>212602.4</v>
      </c>
      <c r="I144" s="5"/>
      <c r="J144" s="13">
        <f t="shared" ref="J144:J149" si="37">IF(H$12=0,0,H144/H$12)</f>
        <v>0.38808664128129211</v>
      </c>
      <c r="K144" s="5"/>
      <c r="L144" s="5">
        <f t="shared" ref="L144:L149" si="38">+D144-H144</f>
        <v>-462.02000000001863</v>
      </c>
      <c r="M144" s="5"/>
      <c r="N144" s="13">
        <f t="shared" ref="N144:N149" si="39">IF(H144=0,0,L144/H144)</f>
        <v>-2.1731645550568507E-3</v>
      </c>
      <c r="O144" s="11"/>
      <c r="P144" s="5">
        <f>SUM(OSRRefP25x_0)</f>
        <v>728038.79999999993</v>
      </c>
      <c r="Q144" s="5"/>
      <c r="R144" s="13">
        <f t="shared" ref="R144:R149" si="40">IF(P$12=0,0,P144/P$12)</f>
        <v>0.14013276070747593</v>
      </c>
      <c r="S144" s="5"/>
      <c r="T144" s="5">
        <f>SUM(OSRRefT25x_0)</f>
        <v>642580.23</v>
      </c>
      <c r="U144" s="5"/>
      <c r="V144" s="13">
        <f t="shared" ref="V144:V149" si="41">IF(T$12=0,0,T144/T$12)</f>
        <v>8.5726147893227772E-2</v>
      </c>
      <c r="W144" s="5"/>
      <c r="X144" s="5">
        <f t="shared" ref="X144:X149" si="42">+P144-T144</f>
        <v>85458.569999999949</v>
      </c>
      <c r="Y144" s="5"/>
      <c r="Z144" s="13">
        <f t="shared" ref="Z144:Z149" si="43">IF(T144=0,0,X144/T144)</f>
        <v>0.13299284044266341</v>
      </c>
    </row>
    <row r="145" spans="1:26" s="70" customFormat="1" ht="15" hidden="1" customHeight="1" outlineLevel="1" x14ac:dyDescent="0.3">
      <c r="A145" s="42"/>
      <c r="B145" s="12" t="str">
        <f>CONCATENATE("          ","9150"," - ","MISC. INCOME")</f>
        <v xml:space="preserve">          9150 - MISC. INCOME</v>
      </c>
      <c r="C145" s="12"/>
      <c r="D145" s="3">
        <f>--59426.7</f>
        <v>59426.7</v>
      </c>
      <c r="E145" s="3"/>
      <c r="F145" s="20">
        <f t="shared" si="36"/>
        <v>7.6318615021852901E-2</v>
      </c>
      <c r="G145" s="3"/>
      <c r="H145" s="3">
        <v>5786</v>
      </c>
      <c r="I145" s="3"/>
      <c r="J145" s="20">
        <f t="shared" si="37"/>
        <v>1.0561824826312197E-2</v>
      </c>
      <c r="K145" s="3"/>
      <c r="L145" s="3">
        <f t="shared" si="38"/>
        <v>53640.7</v>
      </c>
      <c r="M145" s="3"/>
      <c r="N145" s="20">
        <f t="shared" si="39"/>
        <v>9.2707742827514679</v>
      </c>
      <c r="O145" s="12"/>
      <c r="P145" s="3">
        <f>--320633.77</f>
        <v>320633.77</v>
      </c>
      <c r="Q145" s="3"/>
      <c r="R145" s="20">
        <f t="shared" si="40"/>
        <v>6.1715523082211947E-2</v>
      </c>
      <c r="S145" s="3"/>
      <c r="T145" s="3">
        <v>127385</v>
      </c>
      <c r="U145" s="3"/>
      <c r="V145" s="20">
        <f t="shared" si="41"/>
        <v>1.699433757770422E-2</v>
      </c>
      <c r="W145" s="3"/>
      <c r="X145" s="3">
        <f t="shared" si="42"/>
        <v>193248.77000000002</v>
      </c>
      <c r="Y145" s="3"/>
      <c r="Z145" s="20">
        <f t="shared" si="43"/>
        <v>1.5170449424971544</v>
      </c>
    </row>
    <row r="146" spans="1:26" s="70" customFormat="1" ht="15" hidden="1" customHeight="1" outlineLevel="1" x14ac:dyDescent="0.3">
      <c r="A146" s="42"/>
      <c r="B146" s="12" t="str">
        <f>CONCATENATE("          ","9151"," - ","MISC. INCOME")</f>
        <v xml:space="preserve">          9151 - MISC. INCOME</v>
      </c>
      <c r="C146" s="12"/>
      <c r="D146" s="3">
        <f>--152339.59</f>
        <v>152339.59</v>
      </c>
      <c r="E146" s="3"/>
      <c r="F146" s="20">
        <f t="shared" si="36"/>
        <v>0.19564179942343951</v>
      </c>
      <c r="G146" s="3"/>
      <c r="H146" s="3">
        <v>206816.4</v>
      </c>
      <c r="I146" s="3"/>
      <c r="J146" s="20">
        <f t="shared" si="37"/>
        <v>0.37752481645497987</v>
      </c>
      <c r="K146" s="3"/>
      <c r="L146" s="3">
        <f t="shared" si="38"/>
        <v>-54476.81</v>
      </c>
      <c r="M146" s="3"/>
      <c r="N146" s="20">
        <f t="shared" si="39"/>
        <v>-0.26340662539334403</v>
      </c>
      <c r="O146" s="12"/>
      <c r="P146" s="3">
        <f>--323761.7</f>
        <v>323761.7</v>
      </c>
      <c r="Q146" s="3"/>
      <c r="R146" s="20">
        <f t="shared" si="40"/>
        <v>6.2317586414825175E-2</v>
      </c>
      <c r="S146" s="3"/>
      <c r="T146" s="3">
        <v>456862.23</v>
      </c>
      <c r="U146" s="3"/>
      <c r="V146" s="20">
        <f t="shared" si="41"/>
        <v>6.0949648413257035E-2</v>
      </c>
      <c r="W146" s="3"/>
      <c r="X146" s="3">
        <f t="shared" si="42"/>
        <v>-133100.52999999997</v>
      </c>
      <c r="Y146" s="3"/>
      <c r="Z146" s="20">
        <f t="shared" si="43"/>
        <v>-0.29133625250658163</v>
      </c>
    </row>
    <row r="147" spans="1:26" s="70" customFormat="1" ht="15" hidden="1" customHeight="1" outlineLevel="1" x14ac:dyDescent="0.3">
      <c r="A147" s="42"/>
      <c r="B147" s="12" t="str">
        <f>CONCATENATE("          ","9152"," - ","MISC. INCOME")</f>
        <v xml:space="preserve">          9152 - MISC. INCOME</v>
      </c>
      <c r="C147" s="12"/>
      <c r="D147" s="3">
        <f>--374.09</f>
        <v>374.09</v>
      </c>
      <c r="E147" s="3"/>
      <c r="F147" s="20">
        <f t="shared" si="36"/>
        <v>4.8042429906969346E-4</v>
      </c>
      <c r="G147" s="3"/>
      <c r="H147" s="3"/>
      <c r="I147" s="3"/>
      <c r="J147" s="20">
        <f t="shared" si="37"/>
        <v>0</v>
      </c>
      <c r="K147" s="3"/>
      <c r="L147" s="3">
        <f t="shared" si="38"/>
        <v>374.09</v>
      </c>
      <c r="M147" s="3"/>
      <c r="N147" s="20">
        <f t="shared" si="39"/>
        <v>0</v>
      </c>
      <c r="O147" s="12"/>
      <c r="P147" s="3">
        <f>--3867.63</f>
        <v>3867.63</v>
      </c>
      <c r="Q147" s="3"/>
      <c r="R147" s="20">
        <f t="shared" si="40"/>
        <v>7.4444063873389062E-4</v>
      </c>
      <c r="S147" s="3"/>
      <c r="T147" s="3"/>
      <c r="U147" s="3"/>
      <c r="V147" s="20">
        <f t="shared" si="41"/>
        <v>0</v>
      </c>
      <c r="W147" s="3"/>
      <c r="X147" s="3">
        <f t="shared" si="42"/>
        <v>3867.63</v>
      </c>
      <c r="Y147" s="3"/>
      <c r="Z147" s="20">
        <f t="shared" si="43"/>
        <v>0</v>
      </c>
    </row>
    <row r="148" spans="1:26" s="70" customFormat="1" ht="15" hidden="1" customHeight="1" outlineLevel="1" x14ac:dyDescent="0.3">
      <c r="A148" s="42"/>
      <c r="B148" s="12" t="str">
        <f>CONCATENATE("          ","9160"," - ","MISC. INCOME")</f>
        <v xml:space="preserve">          9160 - MISC. INCOME</v>
      </c>
      <c r="C148" s="12"/>
      <c r="D148" s="3">
        <f>0</f>
        <v>0</v>
      </c>
      <c r="E148" s="3"/>
      <c r="F148" s="20">
        <f t="shared" si="36"/>
        <v>0</v>
      </c>
      <c r="G148" s="3"/>
      <c r="H148" s="3">
        <v>0</v>
      </c>
      <c r="I148" s="3"/>
      <c r="J148" s="20">
        <f t="shared" si="37"/>
        <v>0</v>
      </c>
      <c r="K148" s="3"/>
      <c r="L148" s="3">
        <f t="shared" si="38"/>
        <v>0</v>
      </c>
      <c r="M148" s="3"/>
      <c r="N148" s="20">
        <f t="shared" si="39"/>
        <v>0</v>
      </c>
      <c r="O148" s="12"/>
      <c r="P148" s="3">
        <f>0</f>
        <v>0</v>
      </c>
      <c r="Q148" s="3"/>
      <c r="R148" s="20">
        <f t="shared" si="40"/>
        <v>0</v>
      </c>
      <c r="S148" s="3"/>
      <c r="T148" s="3">
        <v>58333</v>
      </c>
      <c r="U148" s="3"/>
      <c r="V148" s="20">
        <f t="shared" si="41"/>
        <v>7.7821619022665168E-3</v>
      </c>
      <c r="W148" s="3"/>
      <c r="X148" s="3">
        <f t="shared" si="42"/>
        <v>-58333</v>
      </c>
      <c r="Y148" s="3"/>
      <c r="Z148" s="20">
        <f t="shared" si="43"/>
        <v>-1</v>
      </c>
    </row>
    <row r="149" spans="1:26" s="70" customFormat="1" ht="15" hidden="1" customHeight="1" outlineLevel="1" x14ac:dyDescent="0.3">
      <c r="A149" s="42"/>
      <c r="B149" s="12" t="str">
        <f>CONCATENATE("          ","9163"," - ","MISC. INCOME")</f>
        <v xml:space="preserve">          9163 - MISC. INCOME</v>
      </c>
      <c r="C149" s="12"/>
      <c r="D149" s="3">
        <f>0</f>
        <v>0</v>
      </c>
      <c r="E149" s="3"/>
      <c r="F149" s="20">
        <f t="shared" si="36"/>
        <v>0</v>
      </c>
      <c r="G149" s="3"/>
      <c r="H149" s="3"/>
      <c r="I149" s="3"/>
      <c r="J149" s="20">
        <f t="shared" si="37"/>
        <v>0</v>
      </c>
      <c r="K149" s="3"/>
      <c r="L149" s="3">
        <f t="shared" si="38"/>
        <v>0</v>
      </c>
      <c r="M149" s="3"/>
      <c r="N149" s="20">
        <f t="shared" si="39"/>
        <v>0</v>
      </c>
      <c r="O149" s="12"/>
      <c r="P149" s="3">
        <f>--79775.7</f>
        <v>79775.7</v>
      </c>
      <c r="Q149" s="3"/>
      <c r="R149" s="20">
        <f t="shared" si="40"/>
        <v>1.5355210571704955E-2</v>
      </c>
      <c r="S149" s="3"/>
      <c r="T149" s="3"/>
      <c r="U149" s="3"/>
      <c r="V149" s="20">
        <f t="shared" si="41"/>
        <v>0</v>
      </c>
      <c r="W149" s="3"/>
      <c r="X149" s="3">
        <f t="shared" si="42"/>
        <v>79775.7</v>
      </c>
      <c r="Y149" s="3"/>
      <c r="Z149" s="20">
        <f t="shared" si="43"/>
        <v>0</v>
      </c>
    </row>
    <row r="150" spans="1:26" ht="15" customHeight="1" x14ac:dyDescent="0.3">
      <c r="A150" s="10"/>
      <c r="B150" s="11"/>
      <c r="C150" s="11"/>
      <c r="D150" s="4"/>
      <c r="E150" s="4"/>
      <c r="F150" s="9"/>
      <c r="G150" s="4"/>
      <c r="H150" s="4"/>
      <c r="I150" s="4"/>
      <c r="J150" s="9"/>
      <c r="K150" s="4"/>
      <c r="L150" s="4"/>
      <c r="M150" s="4"/>
      <c r="N150" s="9"/>
      <c r="O150" s="11"/>
      <c r="P150" s="4"/>
      <c r="Q150" s="4"/>
      <c r="R150" s="9"/>
      <c r="S150" s="4"/>
      <c r="T150" s="4"/>
      <c r="U150" s="4"/>
      <c r="V150" s="9"/>
      <c r="W150" s="4"/>
      <c r="X150" s="4"/>
      <c r="Y150" s="4"/>
      <c r="Z150" s="9"/>
    </row>
    <row r="151" spans="1:26" s="63" customFormat="1" ht="15" customHeight="1" x14ac:dyDescent="0.3">
      <c r="A151" s="11"/>
      <c r="B151" s="28" t="s">
        <v>292</v>
      </c>
      <c r="C151" s="28"/>
      <c r="D151" s="21">
        <f>+D50-D52+D144</f>
        <v>281568.64999999979</v>
      </c>
      <c r="E151" s="15"/>
      <c r="F151" s="22">
        <f>IF(D$12=0,0,D151/D$12)</f>
        <v>0.36160394909313198</v>
      </c>
      <c r="G151" s="15"/>
      <c r="H151" s="21">
        <f>+H50-H52+H144</f>
        <v>139834.29928374491</v>
      </c>
      <c r="I151" s="15"/>
      <c r="J151" s="22">
        <f>IF(H$12=0,0,H151/H$12)</f>
        <v>0.25525499027739834</v>
      </c>
      <c r="K151" s="16"/>
      <c r="L151" s="21">
        <f>+D151-H151</f>
        <v>141734.35071625488</v>
      </c>
      <c r="M151" s="16"/>
      <c r="N151" s="22">
        <f>IF(H151=0,0,L151/H151)</f>
        <v>1.013587878240477</v>
      </c>
      <c r="O151" s="27"/>
      <c r="P151" s="21">
        <f>+P50-P52+P144</f>
        <v>325418.21000000101</v>
      </c>
      <c r="Q151" s="15"/>
      <c r="R151" s="22">
        <f>IF(P$12=0,0,P151/P$12)</f>
        <v>6.2636431123980346E-2</v>
      </c>
      <c r="S151" s="15"/>
      <c r="T151" s="21">
        <f>+T50-T52+T144</f>
        <v>649103.89247936243</v>
      </c>
      <c r="U151" s="15"/>
      <c r="V151" s="22">
        <f>IF(T$12=0,0,T151/T$12)</f>
        <v>8.6596464825498348E-2</v>
      </c>
      <c r="W151" s="16"/>
      <c r="X151" s="21">
        <f>+P151-T151</f>
        <v>-323685.68247936142</v>
      </c>
      <c r="Y151" s="16"/>
      <c r="Z151" s="22">
        <f>IF(T151=0,0,X151/T151)</f>
        <v>-0.49866544667139345</v>
      </c>
    </row>
    <row r="152" spans="1:26" ht="15" customHeight="1" x14ac:dyDescent="0.3">
      <c r="A152" s="10"/>
      <c r="B152" s="11"/>
      <c r="C152" s="10"/>
      <c r="D152" s="4"/>
      <c r="E152" s="4"/>
      <c r="F152" s="9"/>
      <c r="G152" s="4"/>
      <c r="H152" s="4"/>
      <c r="I152" s="4"/>
      <c r="J152" s="9"/>
      <c r="K152" s="4"/>
      <c r="L152" s="4"/>
      <c r="M152" s="4"/>
      <c r="N152" s="9"/>
      <c r="P152" s="4"/>
      <c r="Q152" s="4"/>
      <c r="R152" s="9"/>
      <c r="S152" s="4"/>
      <c r="T152" s="4"/>
      <c r="U152" s="4"/>
      <c r="V152" s="9"/>
      <c r="W152" s="4"/>
      <c r="X152" s="4"/>
      <c r="Y152" s="4"/>
      <c r="Z152" s="9"/>
    </row>
    <row r="153" spans="1:26" s="63" customFormat="1" ht="15" customHeight="1" x14ac:dyDescent="0.3">
      <c r="A153" s="49"/>
      <c r="B153" s="11" t="s">
        <v>293</v>
      </c>
      <c r="C153" s="11"/>
      <c r="D153" s="5">
        <v>63872.71</v>
      </c>
      <c r="E153" s="5"/>
      <c r="F153" s="13">
        <f>IF(D$12=0,0,D153/D$12)</f>
        <v>8.2028394053387688E-2</v>
      </c>
      <c r="G153" s="5"/>
      <c r="H153" s="5">
        <v>45787</v>
      </c>
      <c r="I153" s="5"/>
      <c r="J153" s="13">
        <f>IF(H$12=0,0,H153/H$12)</f>
        <v>8.3580067978284919E-2</v>
      </c>
      <c r="K153" s="5"/>
      <c r="L153" s="5">
        <f>+D153-H153</f>
        <v>18085.71</v>
      </c>
      <c r="M153" s="5"/>
      <c r="N153" s="13">
        <f>IF(H153=0,0,L153/H153)</f>
        <v>0.39499661475964792</v>
      </c>
      <c r="O153" s="11"/>
      <c r="P153" s="5">
        <v>648497.69999999995</v>
      </c>
      <c r="Q153" s="5"/>
      <c r="R153" s="13">
        <f>IF(P$12=0,0,P153/P$12)</f>
        <v>0.12482270589623592</v>
      </c>
      <c r="S153" s="5"/>
      <c r="T153" s="5">
        <v>916336</v>
      </c>
      <c r="U153" s="5"/>
      <c r="V153" s="13">
        <f>IF(T$12=0,0,T153/T$12)</f>
        <v>0.12224770042472169</v>
      </c>
      <c r="W153" s="5"/>
      <c r="X153" s="5">
        <f>+P153-T153</f>
        <v>-267838.30000000005</v>
      </c>
      <c r="Y153" s="5"/>
      <c r="Z153" s="13">
        <f>IF(T153=0,0,X153/T153)</f>
        <v>-0.29229267430287587</v>
      </c>
    </row>
    <row r="154" spans="1:26" ht="15" customHeight="1" x14ac:dyDescent="0.3">
      <c r="A154" s="10"/>
      <c r="B154" s="11"/>
      <c r="C154" s="11"/>
      <c r="D154" s="4"/>
      <c r="E154" s="4"/>
      <c r="F154" s="9"/>
      <c r="G154" s="4"/>
      <c r="H154" s="4"/>
      <c r="I154" s="4"/>
      <c r="J154" s="9"/>
      <c r="K154" s="4"/>
      <c r="L154" s="4"/>
      <c r="M154" s="4"/>
      <c r="N154" s="9"/>
      <c r="O154" s="11"/>
      <c r="P154" s="4"/>
      <c r="Q154" s="4"/>
      <c r="R154" s="9"/>
      <c r="S154" s="4"/>
      <c r="T154" s="4"/>
      <c r="U154" s="4"/>
      <c r="V154" s="9"/>
      <c r="W154" s="4"/>
      <c r="X154" s="4"/>
      <c r="Y154" s="4"/>
      <c r="Z154" s="9"/>
    </row>
    <row r="155" spans="1:26" s="63" customFormat="1" ht="15" customHeight="1" x14ac:dyDescent="0.3">
      <c r="A155" s="11"/>
      <c r="B155" s="28" t="s">
        <v>294</v>
      </c>
      <c r="C155" s="28"/>
      <c r="D155" s="33">
        <f>+D151-D153</f>
        <v>217695.9399999998</v>
      </c>
      <c r="E155" s="15"/>
      <c r="F155" s="32">
        <f>IF(D$12=0,0,D155/D$12)</f>
        <v>0.27957555503974429</v>
      </c>
      <c r="G155" s="15"/>
      <c r="H155" s="33">
        <f>+H151-H153</f>
        <v>94047.299283744913</v>
      </c>
      <c r="I155" s="15"/>
      <c r="J155" s="32">
        <f>IF(H$12=0,0,H155/H$12)</f>
        <v>0.17167492229911341</v>
      </c>
      <c r="K155" s="16"/>
      <c r="L155" s="33">
        <f>D155-H155</f>
        <v>123648.64071625489</v>
      </c>
      <c r="M155" s="16"/>
      <c r="N155" s="32">
        <f>IF(H155=0,0,L155/H155)</f>
        <v>1.3147495107031346</v>
      </c>
      <c r="O155" s="27"/>
      <c r="P155" s="33">
        <f>+P151-P153</f>
        <v>-323079.48999999894</v>
      </c>
      <c r="Q155" s="15"/>
      <c r="R155" s="32">
        <f>IF(P$12=0,0,P155/P$12)</f>
        <v>-6.2186274772255579E-2</v>
      </c>
      <c r="S155" s="15"/>
      <c r="T155" s="33">
        <f>+T151-T153</f>
        <v>-267232.10752063757</v>
      </c>
      <c r="U155" s="15"/>
      <c r="V155" s="32">
        <f>IF(T$12=0,0,T155/T$12)</f>
        <v>-3.5651235599223341E-2</v>
      </c>
      <c r="W155" s="16"/>
      <c r="X155" s="33">
        <f>P155-T155</f>
        <v>-55847.382479361375</v>
      </c>
      <c r="Y155" s="16"/>
      <c r="Z155" s="32">
        <f>IF(T155=0,0,X155/T155)</f>
        <v>0.20898455278263464</v>
      </c>
    </row>
    <row r="156" spans="1:26" ht="15" customHeight="1" x14ac:dyDescent="0.3">
      <c r="A156" s="10"/>
      <c r="B156" s="10"/>
      <c r="C156" s="10"/>
      <c r="D156" s="4"/>
      <c r="E156" s="4"/>
      <c r="F156" s="9"/>
      <c r="G156" s="4"/>
      <c r="H156" s="4"/>
      <c r="I156" s="4"/>
      <c r="J156" s="9"/>
      <c r="K156" s="4"/>
      <c r="L156" s="4"/>
      <c r="M156" s="4"/>
      <c r="N156" s="9"/>
      <c r="P156" s="4"/>
      <c r="Q156" s="4"/>
      <c r="R156" s="9"/>
      <c r="S156" s="4"/>
      <c r="T156" s="4"/>
      <c r="U156" s="4"/>
      <c r="V156" s="9"/>
      <c r="W156" s="4"/>
      <c r="X156" s="4"/>
      <c r="Y156" s="4"/>
      <c r="Z156" s="9"/>
    </row>
    <row r="157" spans="1:26" ht="15" customHeight="1" x14ac:dyDescent="0.3">
      <c r="A157" s="10"/>
      <c r="B157" s="10"/>
      <c r="C157" s="10"/>
      <c r="D157" s="4"/>
      <c r="E157" s="4"/>
      <c r="F157" s="9"/>
      <c r="G157" s="4"/>
      <c r="H157" s="4"/>
      <c r="I157" s="4"/>
      <c r="J157" s="9"/>
      <c r="K157" s="4"/>
      <c r="L157" s="4"/>
      <c r="M157" s="4"/>
      <c r="N157" s="9"/>
      <c r="P157" s="4"/>
      <c r="Q157" s="4"/>
      <c r="R157" s="9"/>
      <c r="S157" s="4"/>
      <c r="T157" s="4"/>
      <c r="U157" s="4"/>
      <c r="V157" s="9"/>
      <c r="W157" s="4"/>
      <c r="X157" s="4"/>
      <c r="Y157" s="4"/>
      <c r="Z157" s="9"/>
    </row>
    <row r="158" spans="1:26" s="63" customFormat="1" ht="15" customHeight="1" x14ac:dyDescent="0.3">
      <c r="A158" s="11"/>
      <c r="B158" s="28" t="s">
        <v>297</v>
      </c>
      <c r="C158" s="28"/>
      <c r="D158" s="34">
        <f>SUM(D155:D157)</f>
        <v>217695.9399999998</v>
      </c>
      <c r="E158" s="15"/>
      <c r="F158" s="30">
        <f>IF(D$12=0,0,D158/D$12)</f>
        <v>0.27957555503974429</v>
      </c>
      <c r="G158" s="15"/>
      <c r="H158" s="34">
        <f>SUM(H155:H157)</f>
        <v>94047.299283744913</v>
      </c>
      <c r="I158" s="15"/>
      <c r="J158" s="30">
        <f>IF(H$12=0,0,H158/H$12)</f>
        <v>0.17167492229911341</v>
      </c>
      <c r="K158" s="16"/>
      <c r="L158" s="34">
        <f>+D158-H158</f>
        <v>123648.64071625489</v>
      </c>
      <c r="M158" s="16"/>
      <c r="N158" s="30">
        <f>IF(H158=0,0,L158/H158)</f>
        <v>1.3147495107031346</v>
      </c>
      <c r="O158" s="27"/>
      <c r="P158" s="34">
        <f>SUM(P155:P157)</f>
        <v>-323079.48999999894</v>
      </c>
      <c r="Q158" s="15"/>
      <c r="R158" s="30">
        <f>IF(P$12=0,0,P158/P$12)</f>
        <v>-6.2186274772255579E-2</v>
      </c>
      <c r="S158" s="15"/>
      <c r="T158" s="34">
        <f>SUM(T155:T157)</f>
        <v>-267232.10752063757</v>
      </c>
      <c r="U158" s="15"/>
      <c r="V158" s="30">
        <f>IF(T$12=0,0,T158/T$12)</f>
        <v>-3.5651235599223341E-2</v>
      </c>
      <c r="W158" s="16"/>
      <c r="X158" s="34">
        <f>+P158-T158</f>
        <v>-55847.382479361375</v>
      </c>
      <c r="Y158" s="16"/>
      <c r="Z158" s="30">
        <f>IF(T158=0,0,X158/T158)</f>
        <v>0.20898455278263464</v>
      </c>
    </row>
    <row r="159" spans="1:26" ht="15" customHeight="1" x14ac:dyDescent="0.3">
      <c r="A159" s="10"/>
      <c r="C159" s="10"/>
      <c r="D159" s="19"/>
      <c r="E159" s="19"/>
      <c r="G159" s="19"/>
      <c r="H159" s="19"/>
      <c r="I159" s="19"/>
      <c r="J159" s="41"/>
      <c r="K159" s="19"/>
      <c r="L159" s="19"/>
      <c r="M159" s="19"/>
      <c r="P159" s="19"/>
      <c r="Q159" s="19"/>
      <c r="R159" s="41"/>
      <c r="S159" s="19"/>
      <c r="T159" s="19"/>
      <c r="U159" s="19"/>
      <c r="V159" s="41"/>
      <c r="W159" s="19"/>
      <c r="X159" s="19"/>
    </row>
    <row r="160" spans="1:26" ht="15" customHeight="1" x14ac:dyDescent="0.3">
      <c r="A160" s="10"/>
      <c r="B160" s="57">
        <v>44634.883379861109</v>
      </c>
      <c r="D160" s="19"/>
      <c r="E160" s="19"/>
      <c r="G160" s="19"/>
      <c r="H160" s="19"/>
      <c r="I160" s="19"/>
      <c r="J160" s="41"/>
      <c r="K160" s="19"/>
      <c r="L160" s="19"/>
      <c r="M160" s="19"/>
      <c r="P160" s="19"/>
      <c r="Q160" s="19"/>
      <c r="R160" s="41"/>
      <c r="S160" s="19"/>
      <c r="T160" s="19"/>
      <c r="U160" s="19"/>
      <c r="V160" s="41"/>
      <c r="W160" s="19"/>
      <c r="X160" s="19"/>
    </row>
    <row r="161" spans="1:24" ht="15" customHeight="1" x14ac:dyDescent="0.3">
      <c r="A161" s="10"/>
      <c r="B161" s="56" t="s">
        <v>298</v>
      </c>
      <c r="D161" s="19"/>
      <c r="E161" s="19"/>
      <c r="G161" s="19"/>
      <c r="H161" s="19"/>
      <c r="I161" s="19"/>
      <c r="J161" s="41"/>
      <c r="K161" s="19"/>
      <c r="L161" s="19"/>
      <c r="M161" s="19"/>
      <c r="P161" s="19"/>
      <c r="Q161" s="19"/>
      <c r="R161" s="41"/>
      <c r="S161" s="19"/>
      <c r="T161" s="19"/>
      <c r="U161" s="19"/>
      <c r="V161" s="41"/>
      <c r="W161" s="19"/>
      <c r="X161" s="19"/>
    </row>
    <row r="162" spans="1:24" ht="15" customHeight="1" x14ac:dyDescent="0.3">
      <c r="A162" s="10"/>
      <c r="B162" s="54"/>
      <c r="D162" s="19"/>
      <c r="E162" s="19"/>
      <c r="G162" s="19"/>
      <c r="H162" s="19"/>
      <c r="I162" s="19"/>
      <c r="J162" s="41"/>
      <c r="K162" s="19"/>
      <c r="L162" s="19"/>
      <c r="M162" s="19"/>
      <c r="P162" s="19"/>
      <c r="Q162" s="19"/>
      <c r="R162" s="41"/>
      <c r="S162" s="19"/>
      <c r="T162" s="19"/>
      <c r="U162" s="19"/>
      <c r="V162" s="41"/>
      <c r="W162" s="19"/>
      <c r="X162" s="19"/>
    </row>
    <row r="163" spans="1:24" ht="15" customHeight="1" x14ac:dyDescent="0.3">
      <c r="D163" s="19"/>
      <c r="E163" s="19"/>
      <c r="G163" s="19"/>
      <c r="H163" s="19"/>
      <c r="I163" s="19"/>
      <c r="J163" s="41"/>
      <c r="K163" s="19"/>
      <c r="L163" s="19"/>
      <c r="M163" s="19"/>
      <c r="P163" s="19"/>
      <c r="Q163" s="19"/>
      <c r="R163" s="41"/>
      <c r="S163" s="19"/>
      <c r="T163" s="19"/>
      <c r="U163" s="19"/>
      <c r="V163" s="41"/>
      <c r="W163" s="19"/>
      <c r="X163" s="1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D64F9-4906-186F-C7CE-87C0B02EC8F4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278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EAE98-BB3B-DA7F-BC86-CD3D5938B982}">
  <sheetPr>
    <tabColor theme="5" tint="0.39997558519241921"/>
    <outlinePr summaryBelow="0" summaryRight="0"/>
  </sheetPr>
  <dimension ref="A2:Z17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303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950015.09000000008</v>
      </c>
      <c r="E12" s="5"/>
      <c r="F12" s="13"/>
      <c r="G12" s="5"/>
      <c r="H12" s="5">
        <f>SUM(OSRRefH13x_0)</f>
        <v>654520</v>
      </c>
      <c r="I12" s="5"/>
      <c r="J12" s="13"/>
      <c r="K12" s="5"/>
      <c r="L12" s="5">
        <f t="shared" ref="L12:L19" si="0">+D12-H12</f>
        <v>295495.09000000008</v>
      </c>
      <c r="M12" s="5"/>
      <c r="N12" s="13">
        <f t="shared" ref="N12:N19" si="1">IF(H12=0,0,L12/H12)</f>
        <v>0.45146838904846315</v>
      </c>
      <c r="O12" s="11"/>
      <c r="P12" s="5">
        <f>SUM(OSRRefP13x_0)</f>
        <v>6489126.7700000005</v>
      </c>
      <c r="Q12" s="5"/>
      <c r="R12" s="13"/>
      <c r="S12" s="5"/>
      <c r="T12" s="5">
        <f>SUM(OSRRefT13x_0)</f>
        <v>8972825</v>
      </c>
      <c r="U12" s="5"/>
      <c r="V12" s="13"/>
      <c r="W12" s="5"/>
      <c r="X12" s="5">
        <f t="shared" ref="X12:X19" si="2">+P12-T12</f>
        <v>-2483698.2299999995</v>
      </c>
      <c r="Y12" s="5"/>
      <c r="Z12" s="13">
        <f t="shared" ref="Z12:Z19" si="3">IF(T12=0,0,X12/T12)</f>
        <v>-0.27680225904327782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--785767.42</f>
        <v>785767.42</v>
      </c>
      <c r="E13" s="3"/>
      <c r="F13" s="20"/>
      <c r="G13" s="3"/>
      <c r="H13" s="3">
        <v>589408</v>
      </c>
      <c r="I13" s="3"/>
      <c r="J13" s="20"/>
      <c r="K13" s="3"/>
      <c r="L13" s="3">
        <f t="shared" si="0"/>
        <v>196359.42000000004</v>
      </c>
      <c r="M13" s="3"/>
      <c r="N13" s="20">
        <f t="shared" si="1"/>
        <v>0.33314685243498571</v>
      </c>
      <c r="O13" s="12"/>
      <c r="P13" s="3">
        <f>--5463118.09</f>
        <v>5463118.0899999999</v>
      </c>
      <c r="Q13" s="3"/>
      <c r="R13" s="20"/>
      <c r="S13" s="3"/>
      <c r="T13" s="3">
        <v>8641127</v>
      </c>
      <c r="U13" s="3"/>
      <c r="V13" s="20"/>
      <c r="W13" s="3"/>
      <c r="X13" s="3">
        <f t="shared" si="2"/>
        <v>-3178008.91</v>
      </c>
      <c r="Y13" s="3"/>
      <c r="Z13" s="20">
        <f t="shared" si="3"/>
        <v>-0.36777713254301203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--224174.02</f>
        <v>224174.02</v>
      </c>
      <c r="E14" s="3"/>
      <c r="F14" s="20"/>
      <c r="G14" s="3"/>
      <c r="H14" s="3">
        <v>65112</v>
      </c>
      <c r="I14" s="3"/>
      <c r="J14" s="20"/>
      <c r="K14" s="3"/>
      <c r="L14" s="3">
        <f t="shared" si="0"/>
        <v>159062.01999999999</v>
      </c>
      <c r="M14" s="3"/>
      <c r="N14" s="20">
        <f t="shared" si="1"/>
        <v>2.442898697628701</v>
      </c>
      <c r="O14" s="12"/>
      <c r="P14" s="3">
        <f>--1497407.53</f>
        <v>1497407.53</v>
      </c>
      <c r="Q14" s="3"/>
      <c r="R14" s="20"/>
      <c r="S14" s="3"/>
      <c r="T14" s="3">
        <v>331698</v>
      </c>
      <c r="U14" s="3"/>
      <c r="V14" s="20"/>
      <c r="W14" s="3"/>
      <c r="X14" s="3">
        <f t="shared" si="2"/>
        <v>1165709.53</v>
      </c>
      <c r="Y14" s="3"/>
      <c r="Z14" s="20">
        <f t="shared" si="3"/>
        <v>3.5143700896598715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-44012.96</f>
        <v>-44012.959999999999</v>
      </c>
      <c r="E17" s="3"/>
      <c r="F17" s="20"/>
      <c r="G17" s="3"/>
      <c r="H17" s="3"/>
      <c r="I17" s="3"/>
      <c r="J17" s="20"/>
      <c r="K17" s="3"/>
      <c r="L17" s="3">
        <f t="shared" si="0"/>
        <v>-44012.959999999999</v>
      </c>
      <c r="M17" s="3"/>
      <c r="N17" s="20">
        <f t="shared" si="1"/>
        <v>0</v>
      </c>
      <c r="O17" s="12"/>
      <c r="P17" s="3">
        <f>-355572.43</f>
        <v>-355572.43</v>
      </c>
      <c r="Q17" s="3"/>
      <c r="R17" s="20"/>
      <c r="S17" s="3"/>
      <c r="T17" s="3"/>
      <c r="U17" s="3"/>
      <c r="V17" s="20"/>
      <c r="W17" s="3"/>
      <c r="X17" s="3">
        <f t="shared" si="2"/>
        <v>-355572.43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","4300"," - ","NON-TAX RETURNS")</f>
        <v xml:space="preserve">          4300 - NON-TAX RETURNS</v>
      </c>
      <c r="C18" s="12"/>
      <c r="D18" s="3">
        <f>-3582.86</f>
        <v>-3582.86</v>
      </c>
      <c r="E18" s="3"/>
      <c r="F18" s="20"/>
      <c r="G18" s="3"/>
      <c r="H18" s="3"/>
      <c r="I18" s="3"/>
      <c r="J18" s="20"/>
      <c r="K18" s="3"/>
      <c r="L18" s="3">
        <f t="shared" si="0"/>
        <v>-3582.86</v>
      </c>
      <c r="M18" s="3"/>
      <c r="N18" s="20">
        <f t="shared" si="1"/>
        <v>0</v>
      </c>
      <c r="O18" s="12"/>
      <c r="P18" s="3">
        <f>-32361.72</f>
        <v>-32361.72</v>
      </c>
      <c r="Q18" s="3"/>
      <c r="R18" s="20"/>
      <c r="S18" s="3"/>
      <c r="T18" s="3"/>
      <c r="U18" s="3"/>
      <c r="V18" s="20"/>
      <c r="W18" s="3"/>
      <c r="X18" s="3">
        <f t="shared" si="2"/>
        <v>-32361.72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","4500"," - ","SALES DISCOUNT")</f>
        <v xml:space="preserve">          4500 - SALES DISCOUNT</v>
      </c>
      <c r="C19" s="12"/>
      <c r="D19" s="3">
        <f>-12330.53</f>
        <v>-12330.53</v>
      </c>
      <c r="E19" s="3"/>
      <c r="F19" s="20"/>
      <c r="G19" s="3"/>
      <c r="H19" s="3"/>
      <c r="I19" s="3"/>
      <c r="J19" s="20"/>
      <c r="K19" s="3"/>
      <c r="L19" s="3">
        <f t="shared" si="0"/>
        <v>-12330.53</v>
      </c>
      <c r="M19" s="3"/>
      <c r="N19" s="20">
        <f t="shared" si="1"/>
        <v>0</v>
      </c>
      <c r="O19" s="12"/>
      <c r="P19" s="3">
        <f>-83464.7</f>
        <v>-83464.7</v>
      </c>
      <c r="Q19" s="3"/>
      <c r="R19" s="20"/>
      <c r="S19" s="3"/>
      <c r="T19" s="3"/>
      <c r="U19" s="3"/>
      <c r="V19" s="20"/>
      <c r="W19" s="3"/>
      <c r="X19" s="3">
        <f t="shared" si="2"/>
        <v>-83464.7</v>
      </c>
      <c r="Y19" s="3"/>
      <c r="Z19" s="20">
        <f t="shared" si="3"/>
        <v>0</v>
      </c>
    </row>
    <row r="20" spans="1:26" ht="15" customHeight="1" x14ac:dyDescent="0.3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3">
      <c r="A21" s="11"/>
      <c r="B21" s="27" t="s">
        <v>288</v>
      </c>
      <c r="C21" s="11"/>
      <c r="D21" s="5">
        <f>SUM(OSRRefD16x_0)</f>
        <v>548527.07999999996</v>
      </c>
      <c r="E21" s="5"/>
      <c r="F21" s="13">
        <f t="shared" ref="F21:F54" si="4">IF(D$12=0,0,D21/D$12)</f>
        <v>0.57738775496713413</v>
      </c>
      <c r="G21" s="5"/>
      <c r="H21" s="5">
        <f>SUM(OSRRefH16x_0)</f>
        <v>393612</v>
      </c>
      <c r="I21" s="5"/>
      <c r="J21" s="13">
        <f t="shared" ref="J21:J54" si="5">IF(H$12=0,0,H21/H$12)</f>
        <v>0.60137505347430176</v>
      </c>
      <c r="K21" s="5"/>
      <c r="L21" s="5">
        <f t="shared" ref="L21:L54" si="6">+D21-H21</f>
        <v>154915.07999999996</v>
      </c>
      <c r="M21" s="5"/>
      <c r="N21" s="13">
        <f t="shared" ref="N21:N54" si="7">IF(H21=0,0,L21/H21)</f>
        <v>0.39357306179689633</v>
      </c>
      <c r="O21" s="11"/>
      <c r="P21" s="5">
        <f>SUM(OSRRefP16x_0)</f>
        <v>4166311.55</v>
      </c>
      <c r="Q21" s="5"/>
      <c r="R21" s="13">
        <f t="shared" ref="R21:R54" si="8">IF(P$12=0,0,P21/P$12)</f>
        <v>0.642045023571022</v>
      </c>
      <c r="S21" s="5"/>
      <c r="T21" s="5">
        <f>SUM(OSRRefT16x_0)</f>
        <v>6027829</v>
      </c>
      <c r="U21" s="5"/>
      <c r="V21" s="13">
        <f t="shared" ref="V21:V54" si="9">IF(T$12=0,0,T21/T$12)</f>
        <v>0.67178720191244112</v>
      </c>
      <c r="W21" s="5"/>
      <c r="X21" s="5">
        <f t="shared" ref="X21:X54" si="10">+P21-T21</f>
        <v>-1861517.4500000002</v>
      </c>
      <c r="Y21" s="5"/>
      <c r="Z21" s="13">
        <f t="shared" ref="Z21:Z54" si="11">IF(T21=0,0,X21/T21)</f>
        <v>-0.30882054716548862</v>
      </c>
    </row>
    <row r="22" spans="1:26" s="70" customFormat="1" ht="15" hidden="1" customHeight="1" outlineLevel="1" x14ac:dyDescent="0.3">
      <c r="A22" s="42"/>
      <c r="B22" s="12" t="str">
        <f>CONCATENATE("          ","5000"," - ","PURCHASES @ COST")</f>
        <v xml:space="preserve">          5000 - PURCHASES @ COST</v>
      </c>
      <c r="C22" s="12"/>
      <c r="D22" s="3">
        <v>539697.19999999995</v>
      </c>
      <c r="E22" s="3"/>
      <c r="F22" s="20">
        <f t="shared" si="4"/>
        <v>0.56809329207602366</v>
      </c>
      <c r="G22" s="3"/>
      <c r="H22" s="3">
        <v>393612</v>
      </c>
      <c r="I22" s="3"/>
      <c r="J22" s="20">
        <f t="shared" si="5"/>
        <v>0.60137505347430176</v>
      </c>
      <c r="K22" s="3"/>
      <c r="L22" s="3">
        <f t="shared" si="6"/>
        <v>146085.19999999995</v>
      </c>
      <c r="M22" s="3"/>
      <c r="N22" s="20">
        <f t="shared" si="7"/>
        <v>0.37114010751704712</v>
      </c>
      <c r="O22" s="12"/>
      <c r="P22" s="3">
        <v>4585684.9000000004</v>
      </c>
      <c r="Q22" s="3"/>
      <c r="R22" s="20">
        <f t="shared" si="8"/>
        <v>0.70667210898085142</v>
      </c>
      <c r="S22" s="3"/>
      <c r="T22" s="3">
        <v>6027829</v>
      </c>
      <c r="U22" s="3"/>
      <c r="V22" s="20">
        <f t="shared" si="9"/>
        <v>0.67178720191244112</v>
      </c>
      <c r="W22" s="3"/>
      <c r="X22" s="3">
        <f t="shared" si="10"/>
        <v>-1442144.0999999996</v>
      </c>
      <c r="Y22" s="3"/>
      <c r="Z22" s="20">
        <f t="shared" si="11"/>
        <v>-0.23924767938838337</v>
      </c>
    </row>
    <row r="23" spans="1:26" s="70" customFormat="1" ht="15" hidden="1" customHeight="1" outlineLevel="1" x14ac:dyDescent="0.3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","5081"," - ","PURCHASES @ COST-ELECTRONICS")</f>
        <v xml:space="preserve">          5081 - PURCHASES @ COST-ELECTRONICS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","5082"," - ","PURCHASES @ COST-COMPUTER HARD")</f>
        <v xml:space="preserve">          5082 - PURCHASES @ COST-COMPUTER HARD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-93808.4</v>
      </c>
      <c r="Q37" s="3"/>
      <c r="R37" s="20">
        <f t="shared" si="8"/>
        <v>-1.4456244010162864E-2</v>
      </c>
      <c r="S37" s="3"/>
      <c r="T37" s="3"/>
      <c r="U37" s="3"/>
      <c r="V37" s="20">
        <f t="shared" si="9"/>
        <v>0</v>
      </c>
      <c r="W37" s="3"/>
      <c r="X37" s="3">
        <f t="shared" si="10"/>
        <v>-93808.4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","5083"," - ","PURCHASES @ COST-COMPUTER EQUI")</f>
        <v xml:space="preserve">          5083 - PURCHASES @ COST-COMPUTER EQUI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","5085"," - ","PURCHASES @ COST-SOFTWARE")</f>
        <v xml:space="preserve">          5085 - PURCHASES @ COST-SOFTWARE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","5086"," - ","PURCHASES @ COST-COMPUTER SUPP")</f>
        <v xml:space="preserve">          5086 - PURCHASES @ COST-COMPUTER SUPP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","5200"," - ","PURCHASES OFFSET")</f>
        <v xml:space="preserve">          5200 - PURCHASES OFFSET</v>
      </c>
      <c r="C41" s="12"/>
      <c r="D41" s="3">
        <v>-536671.35</v>
      </c>
      <c r="E41" s="3"/>
      <c r="F41" s="20">
        <f t="shared" si="4"/>
        <v>-0.56490823740494478</v>
      </c>
      <c r="G41" s="3"/>
      <c r="H41" s="3"/>
      <c r="I41" s="3"/>
      <c r="J41" s="20">
        <f t="shared" si="5"/>
        <v>0</v>
      </c>
      <c r="K41" s="3"/>
      <c r="L41" s="3">
        <f t="shared" si="6"/>
        <v>-536671.35</v>
      </c>
      <c r="M41" s="3"/>
      <c r="N41" s="20">
        <f t="shared" si="7"/>
        <v>0</v>
      </c>
      <c r="O41" s="12"/>
      <c r="P41" s="3">
        <v>-4386453.21</v>
      </c>
      <c r="Q41" s="3"/>
      <c r="R41" s="20">
        <f t="shared" si="8"/>
        <v>-0.67596972065318417</v>
      </c>
      <c r="S41" s="3"/>
      <c r="T41" s="3"/>
      <c r="U41" s="3"/>
      <c r="V41" s="20">
        <f t="shared" si="9"/>
        <v>0</v>
      </c>
      <c r="W41" s="3"/>
      <c r="X41" s="3">
        <f t="shared" si="10"/>
        <v>-4386453.21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","5300"," - ","COG$ OFFSET")</f>
        <v xml:space="preserve">          5300 - COG$ OFFSET</v>
      </c>
      <c r="C42" s="12"/>
      <c r="D42" s="3">
        <v>513873.01</v>
      </c>
      <c r="E42" s="3"/>
      <c r="F42" s="20">
        <f t="shared" si="4"/>
        <v>0.54091036596060804</v>
      </c>
      <c r="G42" s="3"/>
      <c r="H42" s="3"/>
      <c r="I42" s="3"/>
      <c r="J42" s="20">
        <f t="shared" si="5"/>
        <v>0</v>
      </c>
      <c r="K42" s="3"/>
      <c r="L42" s="3">
        <f t="shared" si="6"/>
        <v>513873.01</v>
      </c>
      <c r="M42" s="3"/>
      <c r="N42" s="20">
        <f t="shared" si="7"/>
        <v>0</v>
      </c>
      <c r="O42" s="12"/>
      <c r="P42" s="3">
        <v>3937005.84</v>
      </c>
      <c r="Q42" s="3"/>
      <c r="R42" s="20">
        <f t="shared" si="8"/>
        <v>0.60670811028091531</v>
      </c>
      <c r="S42" s="3"/>
      <c r="T42" s="3"/>
      <c r="U42" s="3"/>
      <c r="V42" s="20">
        <f t="shared" si="9"/>
        <v>0</v>
      </c>
      <c r="W42" s="3"/>
      <c r="X42" s="3">
        <f t="shared" si="10"/>
        <v>3937005.84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","5500"," - ","FREIGHT-IN")</f>
        <v xml:space="preserve">          5500 - FREIGHT-IN</v>
      </c>
      <c r="C43" s="12"/>
      <c r="D43" s="3">
        <v>31628.22</v>
      </c>
      <c r="E43" s="3"/>
      <c r="F43" s="20">
        <f t="shared" si="4"/>
        <v>3.3292334335447239E-2</v>
      </c>
      <c r="G43" s="3"/>
      <c r="H43" s="3"/>
      <c r="I43" s="3"/>
      <c r="J43" s="20">
        <f t="shared" si="5"/>
        <v>0</v>
      </c>
      <c r="K43" s="3"/>
      <c r="L43" s="3">
        <f t="shared" si="6"/>
        <v>31628.22</v>
      </c>
      <c r="M43" s="3"/>
      <c r="N43" s="20">
        <f t="shared" si="7"/>
        <v>0</v>
      </c>
      <c r="O43" s="12"/>
      <c r="P43" s="3">
        <v>123882.42</v>
      </c>
      <c r="Q43" s="3"/>
      <c r="R43" s="20">
        <f t="shared" si="8"/>
        <v>1.9090768972602454E-2</v>
      </c>
      <c r="S43" s="3"/>
      <c r="T43" s="3"/>
      <c r="U43" s="3"/>
      <c r="V43" s="20">
        <f t="shared" si="9"/>
        <v>0</v>
      </c>
      <c r="W43" s="3"/>
      <c r="X43" s="3">
        <f t="shared" si="10"/>
        <v>123882.42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","5501"," - ","FREIGHT-IN-NEW TEXT")</f>
        <v xml:space="preserve">          5501 - FREIGHT-IN-NEW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","5502"," - ","FREIGHT-IN-USED TEXT")</f>
        <v xml:space="preserve">          5502 - FREIGHT-IN-USED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","5518"," - ","FREIGHT-IN-STUDY GUIDES")</f>
        <v xml:space="preserve">          5518 - FREIGHT-IN-STUDY GUIDES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","5527"," - ","FREIGHT-IN-SCHOOL SUPPLIES")</f>
        <v xml:space="preserve">          5527 - FREIGHT-IN-SCHOOL SUPPLIES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","5528"," - ","FREIGHT-IN-ART/TECH")</f>
        <v xml:space="preserve">          5528 - FREIGHT-IN-ART/TECH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","5540"," - ","FREIGHT-IN-LOGO CLOTHING")</f>
        <v xml:space="preserve">          5540 - FREIGHT-IN-LOGO CLOTHING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","5541"," - ","FREIGHT-IN-LOGO GIFTS")</f>
        <v xml:space="preserve">          5541 - FREIGHT-IN-LOGO GIFTS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","5542"," - ","FREIGHT-IN-EVERYDAY GIFTS")</f>
        <v xml:space="preserve">          5542 - FREIGHT-IN-EVERYDAY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","5544"," - ","FREIGHT-IN-ACCESSORIES")</f>
        <v xml:space="preserve">          5544 - FREIGHT-IN-ACCESSORIES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","5545"," - ","FREIGHT-IN-SPECIAL ORDERS")</f>
        <v xml:space="preserve">          5545 - FREIGHT-IN-SPECIAL ORDERS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","5583"," - ","FREIGHT-IN-COMPUTER EQUIPMENT")</f>
        <v xml:space="preserve">          5583 - FREIGHT-IN-COMPUTER EQUIPMENT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3">
      <c r="A56" s="11"/>
      <c r="B56" s="28" t="s">
        <v>289</v>
      </c>
      <c r="C56" s="28"/>
      <c r="D56" s="21">
        <f>D12-D21</f>
        <v>401488.01000000013</v>
      </c>
      <c r="E56" s="15"/>
      <c r="F56" s="22">
        <f>IF(D$12=0,0,D56/D$12)</f>
        <v>0.42261224503286582</v>
      </c>
      <c r="G56" s="15"/>
      <c r="H56" s="21">
        <f>H12-H21</f>
        <v>260908</v>
      </c>
      <c r="I56" s="15"/>
      <c r="J56" s="22">
        <f>IF(H$12=0,0,H56/H$12)</f>
        <v>0.39862494652569824</v>
      </c>
      <c r="K56" s="16"/>
      <c r="L56" s="21">
        <f>+D56-H56</f>
        <v>140580.01000000013</v>
      </c>
      <c r="M56" s="16"/>
      <c r="N56" s="22">
        <f>IF(H56=0,0,L56/H56)</f>
        <v>0.53881065356370872</v>
      </c>
      <c r="O56" s="27"/>
      <c r="P56" s="21">
        <f>P12-P21</f>
        <v>2322815.2200000007</v>
      </c>
      <c r="Q56" s="15"/>
      <c r="R56" s="22">
        <f>IF(P$12=0,0,P56/P$12)</f>
        <v>0.35795497642897806</v>
      </c>
      <c r="S56" s="15"/>
      <c r="T56" s="21">
        <f>T12-T21</f>
        <v>2944996</v>
      </c>
      <c r="U56" s="15"/>
      <c r="V56" s="22">
        <f>IF(T$12=0,0,T56/T$12)</f>
        <v>0.32821279808755882</v>
      </c>
      <c r="W56" s="16"/>
      <c r="X56" s="21">
        <f>+P56-T56</f>
        <v>-622180.77999999933</v>
      </c>
      <c r="Y56" s="16"/>
      <c r="Z56" s="22">
        <f>IF(T56=0,0,X56/T56)</f>
        <v>-0.21126710528639064</v>
      </c>
    </row>
    <row r="57" spans="1:26" ht="15" customHeight="1" x14ac:dyDescent="0.3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3">
      <c r="A58" s="11"/>
      <c r="B58" s="27" t="s">
        <v>290</v>
      </c>
      <c r="C58" s="11"/>
      <c r="D58" s="23" cm="1">
        <f t="array" ref="D58">SUM(OSRRefD22x_0)</f>
        <v>328359.32000000007</v>
      </c>
      <c r="E58" s="23"/>
      <c r="F58" s="29">
        <f t="shared" ref="F58:F89" si="12">IF(D$12=0,0,D58/D$12)</f>
        <v>0.34563589932029398</v>
      </c>
      <c r="G58" s="23"/>
      <c r="H58" s="23" cm="1">
        <f t="array" ref="H58">SUM(OSRRefH22x_0)</f>
        <v>336859.11420512514</v>
      </c>
      <c r="I58" s="23"/>
      <c r="J58" s="29">
        <f t="shared" ref="J58:J89" si="13">IF(H$12=0,0,H58/H$12)</f>
        <v>0.51466588370886324</v>
      </c>
      <c r="K58" s="5"/>
      <c r="L58" s="23">
        <f t="shared" ref="L58:L89" si="14">+D58-H58</f>
        <v>-8499.794205125072</v>
      </c>
      <c r="M58" s="5"/>
      <c r="N58" s="29">
        <f t="shared" ref="N58:N89" si="15">IF(H58=0,0,L58/H58)</f>
        <v>-2.5232489924405768E-2</v>
      </c>
      <c r="O58" s="11"/>
      <c r="P58" s="23" cm="1">
        <f t="array" ref="P58">SUM(OSRRefP22x_0)</f>
        <v>2653513.4499999997</v>
      </c>
      <c r="Q58" s="23"/>
      <c r="R58" s="29">
        <f t="shared" ref="R58:R89" si="16">IF(P$12=0,0,P58/P$12)</f>
        <v>0.40891687649985603</v>
      </c>
      <c r="S58" s="23"/>
      <c r="T58" s="23" cm="1">
        <f t="array" ref="T58">SUM(OSRRefT22x_0)</f>
        <v>2911311.2056662501</v>
      </c>
      <c r="U58" s="23"/>
      <c r="V58" s="29">
        <f t="shared" ref="V58:V89" si="17">IF(T$12=0,0,T58/T$12)</f>
        <v>0.32445870789481018</v>
      </c>
      <c r="W58" s="5"/>
      <c r="X58" s="23">
        <f t="shared" ref="X58:X89" si="18">+P58-T58</f>
        <v>-257797.75566625036</v>
      </c>
      <c r="Y58" s="5"/>
      <c r="Z58" s="29">
        <f t="shared" ref="Z58:Z89" si="19">IF(T58=0,0,X58/T58)</f>
        <v>-8.8550394462983448E-2</v>
      </c>
    </row>
    <row r="59" spans="1:26" s="69" customFormat="1" ht="15" customHeight="1" outlineLevel="1" collapsed="1" x14ac:dyDescent="0.3">
      <c r="A59" s="25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25602.550000000003</v>
      </c>
      <c r="E59" s="2"/>
      <c r="F59" s="6">
        <f t="shared" si="12"/>
        <v>2.6949624558068864E-2</v>
      </c>
      <c r="G59" s="2"/>
      <c r="H59" s="2">
        <f>SUM(OSRRefH22_0x_0)</f>
        <v>46270.729246409792</v>
      </c>
      <c r="I59" s="2"/>
      <c r="J59" s="6">
        <f t="shared" si="13"/>
        <v>7.0694141120836329E-2</v>
      </c>
      <c r="K59" s="2"/>
      <c r="L59" s="2">
        <f t="shared" si="14"/>
        <v>-20668.179246409789</v>
      </c>
      <c r="M59" s="2"/>
      <c r="N59" s="6">
        <f t="shared" si="15"/>
        <v>-0.44667934962389771</v>
      </c>
      <c r="O59" s="14"/>
      <c r="P59" s="2">
        <f>SUM(OSRRefP22_0x_0)</f>
        <v>399815.39</v>
      </c>
      <c r="Q59" s="2"/>
      <c r="R59" s="6">
        <f t="shared" si="16"/>
        <v>6.1613126722750093E-2</v>
      </c>
      <c r="S59" s="2"/>
      <c r="T59" s="2">
        <f>SUM(OSRRefT22_0x_0)</f>
        <v>412731.01948277879</v>
      </c>
      <c r="U59" s="2"/>
      <c r="V59" s="6">
        <f t="shared" si="17"/>
        <v>4.5997890238891184E-2</v>
      </c>
      <c r="W59" s="2"/>
      <c r="X59" s="2">
        <f t="shared" si="18"/>
        <v>-12915.629482778779</v>
      </c>
      <c r="Y59" s="2"/>
      <c r="Z59" s="6">
        <f t="shared" si="19"/>
        <v>-3.1293091318806684E-2</v>
      </c>
    </row>
    <row r="60" spans="1:26" s="70" customFormat="1" ht="15" hidden="1" customHeight="1" outlineLevel="2" x14ac:dyDescent="0.3">
      <c r="A60" s="26"/>
      <c r="B60" s="12" t="str">
        <f>CONCATENATE("          ","6111"," - ","F.I.C.A.")</f>
        <v xml:space="preserve">          6111 - F.I.C.A.</v>
      </c>
      <c r="C60" s="12"/>
      <c r="D60" s="8">
        <v>8627.36</v>
      </c>
      <c r="E60" s="3"/>
      <c r="F60" s="7">
        <f t="shared" si="12"/>
        <v>9.0812873298675711E-3</v>
      </c>
      <c r="G60" s="3"/>
      <c r="H60" s="8">
        <v>9541.4519246420805</v>
      </c>
      <c r="I60" s="3"/>
      <c r="J60" s="7">
        <f t="shared" si="13"/>
        <v>1.4577785132069426E-2</v>
      </c>
      <c r="K60" s="3"/>
      <c r="L60" s="8">
        <f t="shared" si="14"/>
        <v>-914.0919246420799</v>
      </c>
      <c r="M60" s="3"/>
      <c r="N60" s="7">
        <f t="shared" si="15"/>
        <v>-9.5802183133293875E-2</v>
      </c>
      <c r="O60" s="12"/>
      <c r="P60" s="8">
        <v>75348.09</v>
      </c>
      <c r="Q60" s="3"/>
      <c r="R60" s="7">
        <f t="shared" si="16"/>
        <v>1.1611437512415864E-2</v>
      </c>
      <c r="S60" s="3"/>
      <c r="T60" s="8">
        <v>86454.136299710502</v>
      </c>
      <c r="U60" s="3"/>
      <c r="V60" s="7">
        <f t="shared" si="17"/>
        <v>9.6351078171824922E-3</v>
      </c>
      <c r="W60" s="3"/>
      <c r="X60" s="8">
        <f t="shared" si="18"/>
        <v>-11106.046299710506</v>
      </c>
      <c r="Y60" s="3"/>
      <c r="Z60" s="7">
        <f t="shared" si="19"/>
        <v>-0.12846171131950451</v>
      </c>
    </row>
    <row r="61" spans="1:26" s="70" customFormat="1" ht="15" hidden="1" customHeight="1" outlineLevel="2" x14ac:dyDescent="0.3">
      <c r="A61" s="26"/>
      <c r="B61" s="12" t="str">
        <f>CONCATENATE("          ","6112"," - ","COMPENSATION INSURANCE")</f>
        <v xml:space="preserve">          6112 - COMPENSATION INSURANCE</v>
      </c>
      <c r="C61" s="12"/>
      <c r="D61" s="8">
        <v>2898.31</v>
      </c>
      <c r="E61" s="3"/>
      <c r="F61" s="7">
        <f t="shared" si="12"/>
        <v>3.0508041719632048E-3</v>
      </c>
      <c r="G61" s="3"/>
      <c r="H61" s="8">
        <v>2623.3615468799999</v>
      </c>
      <c r="I61" s="3"/>
      <c r="J61" s="7">
        <f t="shared" si="13"/>
        <v>4.008069343763368E-3</v>
      </c>
      <c r="K61" s="3"/>
      <c r="L61" s="8">
        <f t="shared" si="14"/>
        <v>274.94845312000007</v>
      </c>
      <c r="M61" s="3"/>
      <c r="N61" s="7">
        <f t="shared" si="15"/>
        <v>0.10480768594286978</v>
      </c>
      <c r="O61" s="12"/>
      <c r="P61" s="8">
        <v>21040.15</v>
      </c>
      <c r="Q61" s="3"/>
      <c r="R61" s="7">
        <f t="shared" si="16"/>
        <v>3.2423700053558976E-3</v>
      </c>
      <c r="S61" s="3"/>
      <c r="T61" s="8">
        <v>24785.342179949999</v>
      </c>
      <c r="U61" s="3"/>
      <c r="V61" s="7">
        <f t="shared" si="17"/>
        <v>2.7622674219044724E-3</v>
      </c>
      <c r="W61" s="3"/>
      <c r="X61" s="8">
        <f t="shared" si="18"/>
        <v>-3745.1921799499978</v>
      </c>
      <c r="Y61" s="3"/>
      <c r="Z61" s="7">
        <f t="shared" si="19"/>
        <v>-0.15110512305049617</v>
      </c>
    </row>
    <row r="62" spans="1:26" s="70" customFormat="1" ht="15" hidden="1" customHeight="1" outlineLevel="2" x14ac:dyDescent="0.3">
      <c r="A62" s="26"/>
      <c r="B62" s="12" t="str">
        <f>CONCATENATE("          ","6113"," - ","GROUP INSURANCE")</f>
        <v xml:space="preserve">          6113 - GROUP INSURANCE</v>
      </c>
      <c r="C62" s="12"/>
      <c r="D62" s="8">
        <v>15712.81</v>
      </c>
      <c r="E62" s="3"/>
      <c r="F62" s="7">
        <f t="shared" si="12"/>
        <v>1.6539537282507795E-2</v>
      </c>
      <c r="G62" s="3"/>
      <c r="H62" s="8">
        <v>16659.4230769231</v>
      </c>
      <c r="I62" s="3"/>
      <c r="J62" s="7">
        <f t="shared" si="13"/>
        <v>2.5452886201984812E-2</v>
      </c>
      <c r="K62" s="3"/>
      <c r="L62" s="8">
        <f t="shared" si="14"/>
        <v>-946.61307692310038</v>
      </c>
      <c r="M62" s="3"/>
      <c r="N62" s="7">
        <f t="shared" si="15"/>
        <v>-5.6821480104816115E-2</v>
      </c>
      <c r="O62" s="12"/>
      <c r="P62" s="8">
        <v>142862.67000000001</v>
      </c>
      <c r="Q62" s="3"/>
      <c r="R62" s="7">
        <f t="shared" si="16"/>
        <v>2.2015700272719436E-2</v>
      </c>
      <c r="S62" s="3"/>
      <c r="T62" s="8">
        <v>141881.57692307699</v>
      </c>
      <c r="U62" s="3"/>
      <c r="V62" s="7">
        <f t="shared" si="17"/>
        <v>1.581236421339734E-2</v>
      </c>
      <c r="W62" s="3"/>
      <c r="X62" s="8">
        <f t="shared" si="18"/>
        <v>981.09307692301809</v>
      </c>
      <c r="Y62" s="3"/>
      <c r="Z62" s="7">
        <f t="shared" si="19"/>
        <v>6.9148729398104368E-3</v>
      </c>
    </row>
    <row r="63" spans="1:26" s="70" customFormat="1" ht="15" hidden="1" customHeight="1" outlineLevel="2" x14ac:dyDescent="0.3">
      <c r="A63" s="26"/>
      <c r="B63" s="12" t="str">
        <f>CONCATENATE("          ","6114"," - ","STATE UNEMPLOYMENT INSURANCE")</f>
        <v xml:space="preserve">          6114 - STATE UNEMPLOYMENT INSURANCE</v>
      </c>
      <c r="C63" s="12"/>
      <c r="D63" s="8">
        <v>524.58000000000004</v>
      </c>
      <c r="E63" s="3"/>
      <c r="F63" s="7">
        <f t="shared" si="12"/>
        <v>5.5218070272967977E-4</v>
      </c>
      <c r="G63" s="3"/>
      <c r="H63" s="8">
        <v>353.144823618462</v>
      </c>
      <c r="I63" s="3"/>
      <c r="J63" s="7">
        <f t="shared" si="13"/>
        <v>5.3954779627583881E-4</v>
      </c>
      <c r="K63" s="3"/>
      <c r="L63" s="8">
        <f t="shared" si="14"/>
        <v>171.43517638153804</v>
      </c>
      <c r="M63" s="3"/>
      <c r="N63" s="7">
        <f t="shared" si="15"/>
        <v>0.48545289330576957</v>
      </c>
      <c r="O63" s="12"/>
      <c r="P63" s="8">
        <v>3793.14</v>
      </c>
      <c r="Q63" s="3"/>
      <c r="R63" s="7">
        <f t="shared" si="16"/>
        <v>5.8453781755907956E-4</v>
      </c>
      <c r="S63" s="3"/>
      <c r="T63" s="8">
        <v>3336.4883703778801</v>
      </c>
      <c r="U63" s="3"/>
      <c r="V63" s="7">
        <f t="shared" si="17"/>
        <v>3.7184369141021696E-4</v>
      </c>
      <c r="W63" s="3"/>
      <c r="X63" s="8">
        <f t="shared" si="18"/>
        <v>456.6516296221198</v>
      </c>
      <c r="Y63" s="3"/>
      <c r="Z63" s="7">
        <f t="shared" si="19"/>
        <v>0.13686594374983566</v>
      </c>
    </row>
    <row r="64" spans="1:26" s="70" customFormat="1" ht="15" hidden="1" customHeight="1" outlineLevel="2" x14ac:dyDescent="0.3">
      <c r="A64" s="26"/>
      <c r="B64" s="12" t="str">
        <f>CONCATENATE("          ","6115"," - ","P.E.R.S.")</f>
        <v xml:space="preserve">          6115 - P.E.R.S.</v>
      </c>
      <c r="C64" s="12"/>
      <c r="D64" s="8">
        <v>7044.52</v>
      </c>
      <c r="E64" s="3"/>
      <c r="F64" s="7">
        <f t="shared" si="12"/>
        <v>7.4151664264617096E-3</v>
      </c>
      <c r="G64" s="3"/>
      <c r="H64" s="8">
        <v>4417.7643771846097</v>
      </c>
      <c r="I64" s="3"/>
      <c r="J64" s="7">
        <f t="shared" si="13"/>
        <v>6.7496247283270333E-3</v>
      </c>
      <c r="K64" s="3"/>
      <c r="L64" s="8">
        <f t="shared" si="14"/>
        <v>2626.7556228153908</v>
      </c>
      <c r="M64" s="3"/>
      <c r="N64" s="7">
        <f t="shared" si="15"/>
        <v>0.59458934396347141</v>
      </c>
      <c r="O64" s="12"/>
      <c r="P64" s="8">
        <v>56171.01</v>
      </c>
      <c r="Q64" s="3"/>
      <c r="R64" s="7">
        <f t="shared" si="16"/>
        <v>8.6561739338619822E-3</v>
      </c>
      <c r="S64" s="3"/>
      <c r="T64" s="8">
        <v>40473.031761903803</v>
      </c>
      <c r="U64" s="3"/>
      <c r="V64" s="7">
        <f t="shared" si="17"/>
        <v>4.5106231049757244E-3</v>
      </c>
      <c r="W64" s="3"/>
      <c r="X64" s="8">
        <f t="shared" si="18"/>
        <v>15697.978238096199</v>
      </c>
      <c r="Y64" s="3"/>
      <c r="Z64" s="7">
        <f t="shared" si="19"/>
        <v>0.38786267187604889</v>
      </c>
    </row>
    <row r="65" spans="1:26" s="70" customFormat="1" ht="15" hidden="1" customHeight="1" outlineLevel="2" x14ac:dyDescent="0.3">
      <c r="A65" s="26"/>
      <c r="B65" s="12" t="str">
        <f>CONCATENATE("          ","6116"," - ","EDUCATIONAL BENEFITS")</f>
        <v xml:space="preserve">          6116 - EDUCATIONAL BENEFITS</v>
      </c>
      <c r="C65" s="12"/>
      <c r="D65" s="8"/>
      <c r="E65" s="3"/>
      <c r="F65" s="7">
        <f t="shared" si="12"/>
        <v>0</v>
      </c>
      <c r="G65" s="3"/>
      <c r="H65" s="8">
        <v>0</v>
      </c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/>
      <c r="Q65" s="3"/>
      <c r="R65" s="7">
        <f t="shared" si="16"/>
        <v>0</v>
      </c>
      <c r="S65" s="3"/>
      <c r="T65" s="8">
        <v>0</v>
      </c>
      <c r="U65" s="3"/>
      <c r="V65" s="7">
        <f t="shared" si="17"/>
        <v>0</v>
      </c>
      <c r="W65" s="3"/>
      <c r="X65" s="8">
        <f t="shared" si="18"/>
        <v>0</v>
      </c>
      <c r="Y65" s="3"/>
      <c r="Z65" s="7">
        <f t="shared" si="19"/>
        <v>0</v>
      </c>
    </row>
    <row r="66" spans="1:26" s="70" customFormat="1" ht="15" hidden="1" customHeight="1" outlineLevel="2" x14ac:dyDescent="0.3">
      <c r="A66" s="26"/>
      <c r="B66" s="12" t="str">
        <f>CONCATENATE("          ","6117"," - ","RETIREMENT STAFF HOURLY")</f>
        <v xml:space="preserve">          6117 - RETIREMENT STAFF HOURLY</v>
      </c>
      <c r="C66" s="12"/>
      <c r="D66" s="8">
        <v>821.53</v>
      </c>
      <c r="E66" s="3"/>
      <c r="F66" s="7">
        <f t="shared" si="12"/>
        <v>8.6475468510715961E-4</v>
      </c>
      <c r="G66" s="3"/>
      <c r="H66" s="8"/>
      <c r="I66" s="3"/>
      <c r="J66" s="7">
        <f t="shared" si="13"/>
        <v>0</v>
      </c>
      <c r="K66" s="3"/>
      <c r="L66" s="8">
        <f t="shared" si="14"/>
        <v>821.53</v>
      </c>
      <c r="M66" s="3"/>
      <c r="N66" s="7">
        <f t="shared" si="15"/>
        <v>0</v>
      </c>
      <c r="O66" s="12"/>
      <c r="P66" s="8">
        <v>5247.25</v>
      </c>
      <c r="Q66" s="3"/>
      <c r="R66" s="7">
        <f t="shared" si="16"/>
        <v>8.0862189721098631E-4</v>
      </c>
      <c r="S66" s="3"/>
      <c r="T66" s="8"/>
      <c r="U66" s="3"/>
      <c r="V66" s="7">
        <f t="shared" si="17"/>
        <v>0</v>
      </c>
      <c r="W66" s="3"/>
      <c r="X66" s="8">
        <f t="shared" si="18"/>
        <v>5247.25</v>
      </c>
      <c r="Y66" s="3"/>
      <c r="Z66" s="7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","6118"," - ","VACATION")</f>
        <v xml:space="preserve">          6118 - VACATION</v>
      </c>
      <c r="C67" s="12"/>
      <c r="D67" s="8">
        <v>8519.75</v>
      </c>
      <c r="E67" s="3"/>
      <c r="F67" s="7">
        <f t="shared" si="12"/>
        <v>8.9680154448915118E-3</v>
      </c>
      <c r="G67" s="3"/>
      <c r="H67" s="8">
        <v>3972.4748426692299</v>
      </c>
      <c r="I67" s="3"/>
      <c r="J67" s="7">
        <f t="shared" si="13"/>
        <v>6.0692948155430387E-3</v>
      </c>
      <c r="K67" s="3"/>
      <c r="L67" s="8">
        <f t="shared" si="14"/>
        <v>4547.2751573307705</v>
      </c>
      <c r="M67" s="3"/>
      <c r="N67" s="7">
        <f t="shared" si="15"/>
        <v>1.1446957721386888</v>
      </c>
      <c r="O67" s="12"/>
      <c r="P67" s="8">
        <v>53859.15</v>
      </c>
      <c r="Q67" s="3"/>
      <c r="R67" s="7">
        <f t="shared" si="16"/>
        <v>8.2999071999944919E-3</v>
      </c>
      <c r="S67" s="3"/>
      <c r="T67" s="8">
        <v>36872.635642586501</v>
      </c>
      <c r="U67" s="3"/>
      <c r="V67" s="7">
        <f t="shared" si="17"/>
        <v>4.1093675227797822E-3</v>
      </c>
      <c r="W67" s="3"/>
      <c r="X67" s="8">
        <f t="shared" si="18"/>
        <v>16986.5143574135</v>
      </c>
      <c r="Y67" s="3"/>
      <c r="Z67" s="7">
        <f t="shared" si="19"/>
        <v>0.46068077481813419</v>
      </c>
    </row>
    <row r="68" spans="1:26" s="70" customFormat="1" ht="15" hidden="1" customHeight="1" outlineLevel="2" x14ac:dyDescent="0.3">
      <c r="A68" s="26"/>
      <c r="B68" s="12" t="str">
        <f>CONCATENATE("          ","6119"," - ","SICK LEAVE")</f>
        <v xml:space="preserve">          6119 - SICK LEAVE</v>
      </c>
      <c r="C68" s="12"/>
      <c r="D68" s="8">
        <v>-22282.799999999999</v>
      </c>
      <c r="E68" s="3"/>
      <c r="F68" s="7">
        <f t="shared" si="12"/>
        <v>-2.3455206379932342E-2</v>
      </c>
      <c r="G68" s="3"/>
      <c r="H68" s="8">
        <v>6078.1086544923101</v>
      </c>
      <c r="I68" s="3"/>
      <c r="J68" s="7">
        <f t="shared" si="13"/>
        <v>9.2863604694926206E-3</v>
      </c>
      <c r="K68" s="3"/>
      <c r="L68" s="8">
        <f t="shared" si="14"/>
        <v>-28360.908654492308</v>
      </c>
      <c r="M68" s="3"/>
      <c r="N68" s="7">
        <f t="shared" si="15"/>
        <v>-4.6660746404279649</v>
      </c>
      <c r="O68" s="12"/>
      <c r="P68" s="8">
        <v>18103.71</v>
      </c>
      <c r="Q68" s="3"/>
      <c r="R68" s="7">
        <f t="shared" si="16"/>
        <v>2.7898530328757929E-3</v>
      </c>
      <c r="S68" s="3"/>
      <c r="T68" s="8">
        <v>57052.808305173101</v>
      </c>
      <c r="U68" s="3"/>
      <c r="V68" s="7">
        <f t="shared" si="17"/>
        <v>6.358399757620716E-3</v>
      </c>
      <c r="W68" s="3"/>
      <c r="X68" s="8">
        <f t="shared" si="18"/>
        <v>-38949.098305173102</v>
      </c>
      <c r="Y68" s="3"/>
      <c r="Z68" s="7">
        <f t="shared" si="19"/>
        <v>-0.68268503273030823</v>
      </c>
    </row>
    <row r="69" spans="1:26" s="70" customFormat="1" ht="15" hidden="1" customHeight="1" outlineLevel="2" x14ac:dyDescent="0.3">
      <c r="A69" s="26"/>
      <c r="B69" s="12" t="str">
        <f>CONCATENATE("          ","6156"," - ","EMPLOYEE MEALS")</f>
        <v xml:space="preserve">          6156 - EMPLOYEE MEALS</v>
      </c>
      <c r="C69" s="12"/>
      <c r="D69" s="8">
        <v>3736.49</v>
      </c>
      <c r="E69" s="3"/>
      <c r="F69" s="7">
        <f t="shared" si="12"/>
        <v>3.9330848944725706E-3</v>
      </c>
      <c r="G69" s="3"/>
      <c r="H69" s="8">
        <v>2625</v>
      </c>
      <c r="I69" s="3"/>
      <c r="J69" s="7">
        <f t="shared" si="13"/>
        <v>4.0105726333801873E-3</v>
      </c>
      <c r="K69" s="3"/>
      <c r="L69" s="8">
        <f t="shared" si="14"/>
        <v>1111.4899999999998</v>
      </c>
      <c r="M69" s="3"/>
      <c r="N69" s="7">
        <f t="shared" si="15"/>
        <v>0.4234247619047618</v>
      </c>
      <c r="O69" s="12"/>
      <c r="P69" s="8">
        <v>23390.22</v>
      </c>
      <c r="Q69" s="3"/>
      <c r="R69" s="7">
        <f t="shared" si="16"/>
        <v>3.6045250507565595E-3</v>
      </c>
      <c r="S69" s="3"/>
      <c r="T69" s="8">
        <v>21875</v>
      </c>
      <c r="U69" s="3"/>
      <c r="V69" s="7">
        <f t="shared" si="17"/>
        <v>2.4379167096204371E-3</v>
      </c>
      <c r="W69" s="3"/>
      <c r="X69" s="8">
        <f t="shared" si="18"/>
        <v>1515.2200000000012</v>
      </c>
      <c r="Y69" s="3"/>
      <c r="Z69" s="7">
        <f t="shared" si="19"/>
        <v>6.9267200000000057E-2</v>
      </c>
    </row>
    <row r="70" spans="1:26" s="69" customFormat="1" ht="15" customHeight="1" outlineLevel="1" collapsed="1" x14ac:dyDescent="0.3">
      <c r="A70" s="25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195739.82000000004</v>
      </c>
      <c r="E70" s="2"/>
      <c r="F70" s="6">
        <f t="shared" si="12"/>
        <v>0.20603864302829128</v>
      </c>
      <c r="G70" s="2"/>
      <c r="H70" s="2">
        <f>SUM(OSRRefH22_1x_0)</f>
        <v>161211.38495871529</v>
      </c>
      <c r="I70" s="2"/>
      <c r="J70" s="6">
        <f t="shared" si="13"/>
        <v>0.24630474998275881</v>
      </c>
      <c r="K70" s="2"/>
      <c r="L70" s="2">
        <f t="shared" si="14"/>
        <v>34528.435041284742</v>
      </c>
      <c r="M70" s="2"/>
      <c r="N70" s="6">
        <f t="shared" si="15"/>
        <v>0.21418112033543504</v>
      </c>
      <c r="O70" s="14"/>
      <c r="P70" s="2">
        <f>SUM(OSRRefP22_1x_0)</f>
        <v>1415838.6300000001</v>
      </c>
      <c r="Q70" s="2"/>
      <c r="R70" s="6">
        <f t="shared" si="16"/>
        <v>0.2181863107599607</v>
      </c>
      <c r="S70" s="2"/>
      <c r="T70" s="2">
        <f>SUM(OSRRefT22_1x_0)</f>
        <v>1525196.1861834712</v>
      </c>
      <c r="U70" s="2"/>
      <c r="V70" s="6">
        <f t="shared" si="17"/>
        <v>0.16997948652553363</v>
      </c>
      <c r="W70" s="2"/>
      <c r="X70" s="2">
        <f t="shared" si="18"/>
        <v>-109357.55618347111</v>
      </c>
      <c r="Y70" s="2"/>
      <c r="Z70" s="6">
        <f t="shared" si="19"/>
        <v>-7.1700648856930796E-2</v>
      </c>
    </row>
    <row r="71" spans="1:26" s="70" customFormat="1" ht="15" hidden="1" customHeight="1" outlineLevel="2" x14ac:dyDescent="0.3">
      <c r="A71" s="26"/>
      <c r="B71" s="12" t="str">
        <f>CONCATENATE("          ","6001"," - ","ADMINISTRATIVE SALARIES")</f>
        <v xml:space="preserve">          6001 - ADMINISTRATIVE SALARIES</v>
      </c>
      <c r="C71" s="12"/>
      <c r="D71" s="8">
        <v>7265.35</v>
      </c>
      <c r="E71" s="3"/>
      <c r="F71" s="7">
        <f t="shared" si="12"/>
        <v>7.6476153657727688E-3</v>
      </c>
      <c r="G71" s="3"/>
      <c r="H71" s="8">
        <v>4139.8076923076896</v>
      </c>
      <c r="I71" s="3"/>
      <c r="J71" s="7">
        <f t="shared" si="13"/>
        <v>6.3249521669432405E-3</v>
      </c>
      <c r="K71" s="3"/>
      <c r="L71" s="8">
        <f t="shared" si="14"/>
        <v>3125.5423076923107</v>
      </c>
      <c r="M71" s="3"/>
      <c r="N71" s="7">
        <f t="shared" si="15"/>
        <v>0.75499698053607223</v>
      </c>
      <c r="O71" s="12"/>
      <c r="P71" s="8">
        <v>40957.550000000003</v>
      </c>
      <c r="Q71" s="3"/>
      <c r="R71" s="7">
        <f t="shared" si="16"/>
        <v>6.3117198124948946E-3</v>
      </c>
      <c r="S71" s="3"/>
      <c r="T71" s="8">
        <v>36223.317307692298</v>
      </c>
      <c r="U71" s="3"/>
      <c r="V71" s="7">
        <f t="shared" si="17"/>
        <v>4.0370025390768565E-3</v>
      </c>
      <c r="W71" s="3"/>
      <c r="X71" s="8">
        <f t="shared" si="18"/>
        <v>4734.2326923077053</v>
      </c>
      <c r="Y71" s="3"/>
      <c r="Z71" s="7">
        <f t="shared" si="19"/>
        <v>0.13069572430635321</v>
      </c>
    </row>
    <row r="72" spans="1:26" s="70" customFormat="1" ht="15" hidden="1" customHeight="1" outlineLevel="2" x14ac:dyDescent="0.3">
      <c r="A72" s="26"/>
      <c r="B72" s="12" t="str">
        <f>CONCATENATE("          ","6002"," - ","STAFF SALARIES")</f>
        <v xml:space="preserve">          6002 - STAFF SALARIES</v>
      </c>
      <c r="C72" s="12"/>
      <c r="D72" s="8">
        <v>64793.51</v>
      </c>
      <c r="E72" s="3"/>
      <c r="F72" s="7">
        <f t="shared" si="12"/>
        <v>6.8202611392204307E-2</v>
      </c>
      <c r="G72" s="3"/>
      <c r="H72" s="8">
        <v>42300.635173407602</v>
      </c>
      <c r="I72" s="3"/>
      <c r="J72" s="7">
        <f t="shared" si="13"/>
        <v>6.4628483733740152E-2</v>
      </c>
      <c r="K72" s="3"/>
      <c r="L72" s="8">
        <f t="shared" si="14"/>
        <v>22492.8748265924</v>
      </c>
      <c r="M72" s="3"/>
      <c r="N72" s="7">
        <f t="shared" si="15"/>
        <v>0.53173846525908908</v>
      </c>
      <c r="O72" s="12"/>
      <c r="P72" s="8">
        <v>483074.68</v>
      </c>
      <c r="Q72" s="3"/>
      <c r="R72" s="7">
        <f t="shared" si="16"/>
        <v>7.4443711322347922E-2</v>
      </c>
      <c r="S72" s="3"/>
      <c r="T72" s="8">
        <v>388095.14430577902</v>
      </c>
      <c r="U72" s="3"/>
      <c r="V72" s="7">
        <f t="shared" si="17"/>
        <v>4.3252280558885192E-2</v>
      </c>
      <c r="W72" s="3"/>
      <c r="X72" s="8">
        <f t="shared" si="18"/>
        <v>94979.535694220976</v>
      </c>
      <c r="Y72" s="3"/>
      <c r="Z72" s="7">
        <f t="shared" si="19"/>
        <v>0.24473260510414138</v>
      </c>
    </row>
    <row r="73" spans="1:26" s="70" customFormat="1" ht="15" hidden="1" customHeight="1" outlineLevel="2" x14ac:dyDescent="0.3">
      <c r="A73" s="26"/>
      <c r="B73" s="12" t="str">
        <f>CONCATENATE("          ","6003"," - ","STAFF HOURLY-9 MONTH")</f>
        <v xml:space="preserve">          6003 - STAFF HOURLY-9 MONTH</v>
      </c>
      <c r="C73" s="12"/>
      <c r="D73" s="8"/>
      <c r="E73" s="3"/>
      <c r="F73" s="7">
        <f t="shared" si="12"/>
        <v>0</v>
      </c>
      <c r="G73" s="3"/>
      <c r="H73" s="8">
        <v>0</v>
      </c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8">
        <v>35616.870000000003</v>
      </c>
      <c r="E74" s="3"/>
      <c r="F74" s="7">
        <f t="shared" si="12"/>
        <v>3.7490846592763069E-2</v>
      </c>
      <c r="G74" s="3"/>
      <c r="H74" s="8">
        <v>40097.413568000004</v>
      </c>
      <c r="I74" s="3"/>
      <c r="J74" s="7">
        <f t="shared" si="13"/>
        <v>6.1262319819104079E-2</v>
      </c>
      <c r="K74" s="3"/>
      <c r="L74" s="8">
        <f t="shared" si="14"/>
        <v>-4480.543568000001</v>
      </c>
      <c r="M74" s="3"/>
      <c r="N74" s="7">
        <f t="shared" si="15"/>
        <v>-0.11174146084015073</v>
      </c>
      <c r="O74" s="12"/>
      <c r="P74" s="8">
        <v>210302.57</v>
      </c>
      <c r="Q74" s="3"/>
      <c r="R74" s="7">
        <f t="shared" si="16"/>
        <v>3.2408454550811615E-2</v>
      </c>
      <c r="S74" s="3"/>
      <c r="T74" s="8">
        <v>332136.63152</v>
      </c>
      <c r="U74" s="3"/>
      <c r="V74" s="7">
        <f t="shared" si="17"/>
        <v>3.7015837433584185E-2</v>
      </c>
      <c r="W74" s="3"/>
      <c r="X74" s="8">
        <f t="shared" si="18"/>
        <v>-121834.06151999999</v>
      </c>
      <c r="Y74" s="3"/>
      <c r="Z74" s="7">
        <f t="shared" si="19"/>
        <v>-0.36681910382012051</v>
      </c>
    </row>
    <row r="75" spans="1:26" s="70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8">
        <v>9430.6299999999992</v>
      </c>
      <c r="E75" s="3"/>
      <c r="F75" s="7">
        <f t="shared" si="12"/>
        <v>9.9268212676495472E-3</v>
      </c>
      <c r="G75" s="3"/>
      <c r="H75" s="8">
        <v>1802</v>
      </c>
      <c r="I75" s="3"/>
      <c r="J75" s="7">
        <f t="shared" si="13"/>
        <v>2.7531626229908941E-3</v>
      </c>
      <c r="K75" s="3"/>
      <c r="L75" s="8">
        <f t="shared" si="14"/>
        <v>7628.6299999999992</v>
      </c>
      <c r="M75" s="3"/>
      <c r="N75" s="7">
        <f t="shared" si="15"/>
        <v>4.23342397336293</v>
      </c>
      <c r="O75" s="12"/>
      <c r="P75" s="8">
        <v>77595.89</v>
      </c>
      <c r="Q75" s="3"/>
      <c r="R75" s="7">
        <f t="shared" si="16"/>
        <v>1.1957832347910811E-2</v>
      </c>
      <c r="S75" s="3"/>
      <c r="T75" s="8">
        <v>27180.34</v>
      </c>
      <c r="U75" s="3"/>
      <c r="V75" s="7">
        <f t="shared" si="17"/>
        <v>3.0291842312761032E-3</v>
      </c>
      <c r="W75" s="3"/>
      <c r="X75" s="8">
        <f t="shared" si="18"/>
        <v>50415.55</v>
      </c>
      <c r="Y75" s="3"/>
      <c r="Z75" s="7">
        <f t="shared" si="19"/>
        <v>1.8548535448783938</v>
      </c>
    </row>
    <row r="76" spans="1:26" s="70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8">
        <v>2310.4</v>
      </c>
      <c r="E76" s="3"/>
      <c r="F76" s="7">
        <f t="shared" si="12"/>
        <v>2.4319613702136035E-3</v>
      </c>
      <c r="G76" s="3"/>
      <c r="H76" s="8">
        <v>0</v>
      </c>
      <c r="I76" s="3"/>
      <c r="J76" s="7">
        <f t="shared" si="13"/>
        <v>0</v>
      </c>
      <c r="K76" s="3"/>
      <c r="L76" s="8">
        <f t="shared" si="14"/>
        <v>2310.4</v>
      </c>
      <c r="M76" s="3"/>
      <c r="N76" s="7">
        <f t="shared" si="15"/>
        <v>0</v>
      </c>
      <c r="O76" s="12"/>
      <c r="P76" s="8">
        <v>14280.37</v>
      </c>
      <c r="Q76" s="3"/>
      <c r="R76" s="7">
        <f t="shared" si="16"/>
        <v>2.2006612763399596E-3</v>
      </c>
      <c r="S76" s="3"/>
      <c r="T76" s="8">
        <v>0</v>
      </c>
      <c r="U76" s="3"/>
      <c r="V76" s="7">
        <f t="shared" si="17"/>
        <v>0</v>
      </c>
      <c r="W76" s="3"/>
      <c r="X76" s="8">
        <f t="shared" si="18"/>
        <v>14280.37</v>
      </c>
      <c r="Y76" s="3"/>
      <c r="Z76" s="7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8">
        <v>61454.89</v>
      </c>
      <c r="E77" s="3"/>
      <c r="F77" s="7">
        <f t="shared" si="12"/>
        <v>6.4688330371678621E-2</v>
      </c>
      <c r="G77" s="3"/>
      <c r="H77" s="8">
        <v>30933.624</v>
      </c>
      <c r="I77" s="3"/>
      <c r="J77" s="7">
        <f t="shared" si="13"/>
        <v>4.7261541282160972E-2</v>
      </c>
      <c r="K77" s="3"/>
      <c r="L77" s="8">
        <f t="shared" si="14"/>
        <v>30521.266</v>
      </c>
      <c r="M77" s="3"/>
      <c r="N77" s="7">
        <f t="shared" si="15"/>
        <v>0.98666958646681679</v>
      </c>
      <c r="O77" s="12"/>
      <c r="P77" s="8">
        <v>505662.49</v>
      </c>
      <c r="Q77" s="3"/>
      <c r="R77" s="7">
        <f t="shared" si="16"/>
        <v>7.7924581830907877E-2</v>
      </c>
      <c r="S77" s="3"/>
      <c r="T77" s="8">
        <v>307092.71399999998</v>
      </c>
      <c r="U77" s="3"/>
      <c r="V77" s="7">
        <f t="shared" si="17"/>
        <v>3.4224752405178971E-2</v>
      </c>
      <c r="W77" s="3"/>
      <c r="X77" s="8">
        <f t="shared" si="18"/>
        <v>198569.77600000001</v>
      </c>
      <c r="Y77" s="3"/>
      <c r="Z77" s="7">
        <f t="shared" si="19"/>
        <v>0.64661181118090616</v>
      </c>
    </row>
    <row r="78" spans="1:26" s="70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8">
        <v>14868.17</v>
      </c>
      <c r="E78" s="3"/>
      <c r="F78" s="7">
        <f t="shared" si="12"/>
        <v>1.5650456668009346E-2</v>
      </c>
      <c r="G78" s="3"/>
      <c r="H78" s="8">
        <v>41937.904524999998</v>
      </c>
      <c r="I78" s="3"/>
      <c r="J78" s="7">
        <f t="shared" si="13"/>
        <v>6.4074290357819474E-2</v>
      </c>
      <c r="K78" s="3"/>
      <c r="L78" s="8">
        <f t="shared" si="14"/>
        <v>-27069.734525</v>
      </c>
      <c r="M78" s="3"/>
      <c r="N78" s="7">
        <f t="shared" si="15"/>
        <v>-0.64547179530305832</v>
      </c>
      <c r="O78" s="12"/>
      <c r="P78" s="8">
        <v>83965.08</v>
      </c>
      <c r="Q78" s="3"/>
      <c r="R78" s="7">
        <f t="shared" si="16"/>
        <v>1.2939349619147601E-2</v>
      </c>
      <c r="S78" s="3"/>
      <c r="T78" s="8">
        <v>434468.03905000002</v>
      </c>
      <c r="U78" s="3"/>
      <c r="V78" s="7">
        <f t="shared" si="17"/>
        <v>4.8420429357532331E-2</v>
      </c>
      <c r="W78" s="3"/>
      <c r="X78" s="8">
        <f t="shared" si="18"/>
        <v>-350502.95905</v>
      </c>
      <c r="Y78" s="3"/>
      <c r="Z78" s="7">
        <f t="shared" si="19"/>
        <v>-0.80674049077672882</v>
      </c>
    </row>
    <row r="79" spans="1:26" s="70" customFormat="1" ht="15" hidden="1" customHeight="1" outlineLevel="2" x14ac:dyDescent="0.3">
      <c r="A79" s="26"/>
      <c r="B79" s="12" t="str">
        <f>CONCATENATE("          ","6009"," - ","TEMPORARY-SEASONAL")</f>
        <v xml:space="preserve">          6009 - TEMPORARY-SEASONAL</v>
      </c>
      <c r="C79" s="12"/>
      <c r="D79" s="8"/>
      <c r="E79" s="3"/>
      <c r="F79" s="7">
        <f t="shared" si="12"/>
        <v>0</v>
      </c>
      <c r="G79" s="3"/>
      <c r="H79" s="8">
        <v>0</v>
      </c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0</v>
      </c>
      <c r="U79" s="3"/>
      <c r="V79" s="7">
        <f t="shared" si="17"/>
        <v>0</v>
      </c>
      <c r="W79" s="3"/>
      <c r="X79" s="8">
        <f t="shared" si="18"/>
        <v>0</v>
      </c>
      <c r="Y79" s="3"/>
      <c r="Z79" s="7">
        <f t="shared" si="19"/>
        <v>0</v>
      </c>
    </row>
    <row r="80" spans="1:26" s="70" customFormat="1" ht="15" hidden="1" customHeight="1" outlineLevel="2" x14ac:dyDescent="0.3">
      <c r="A80" s="26"/>
      <c r="B80" s="12" t="str">
        <f>CONCATENATE("          ","6010"," - ","GRATUITY")</f>
        <v xml:space="preserve">          6010 - GRATUITY</v>
      </c>
      <c r="C80" s="12"/>
      <c r="D80" s="8"/>
      <c r="E80" s="3"/>
      <c r="F80" s="7">
        <f t="shared" si="12"/>
        <v>0</v>
      </c>
      <c r="G80" s="3"/>
      <c r="H80" s="8">
        <v>0</v>
      </c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0</v>
      </c>
      <c r="U80" s="3"/>
      <c r="V80" s="7">
        <f t="shared" si="17"/>
        <v>0</v>
      </c>
      <c r="W80" s="3"/>
      <c r="X80" s="8">
        <f t="shared" si="18"/>
        <v>0</v>
      </c>
      <c r="Y80" s="3"/>
      <c r="Z80" s="7">
        <f t="shared" si="19"/>
        <v>0</v>
      </c>
    </row>
    <row r="81" spans="1:26" s="69" customFormat="1" ht="15" customHeight="1" outlineLevel="1" collapsed="1" x14ac:dyDescent="0.3">
      <c r="A81" s="25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396.83</v>
      </c>
      <c r="E81" s="2"/>
      <c r="F81" s="6">
        <f t="shared" si="12"/>
        <v>4.1770915449353542E-4</v>
      </c>
      <c r="G81" s="2"/>
      <c r="H81" s="2">
        <f>SUM(OSRRefH22_2x_0)</f>
        <v>500</v>
      </c>
      <c r="I81" s="2"/>
      <c r="J81" s="6">
        <f t="shared" si="13"/>
        <v>7.6391859683432137E-4</v>
      </c>
      <c r="K81" s="2"/>
      <c r="L81" s="2">
        <f t="shared" si="14"/>
        <v>-103.17000000000002</v>
      </c>
      <c r="M81" s="2"/>
      <c r="N81" s="6">
        <f t="shared" si="15"/>
        <v>-0.20634000000000002</v>
      </c>
      <c r="O81" s="14"/>
      <c r="P81" s="2">
        <f>SUM(OSRRefP22_2x_0)</f>
        <v>6820.86</v>
      </c>
      <c r="Q81" s="2"/>
      <c r="R81" s="6">
        <f t="shared" si="16"/>
        <v>1.0511213976483926E-3</v>
      </c>
      <c r="S81" s="2"/>
      <c r="T81" s="2">
        <f>SUM(OSRRefT22_2x_0)</f>
        <v>7400</v>
      </c>
      <c r="U81" s="2"/>
      <c r="V81" s="6">
        <f t="shared" si="17"/>
        <v>8.2471239548302796E-4</v>
      </c>
      <c r="W81" s="2"/>
      <c r="X81" s="2">
        <f t="shared" si="18"/>
        <v>-579.14000000000033</v>
      </c>
      <c r="Y81" s="2"/>
      <c r="Z81" s="6">
        <f t="shared" si="19"/>
        <v>-7.826216216216221E-2</v>
      </c>
    </row>
    <row r="82" spans="1:26" s="70" customFormat="1" ht="15" hidden="1" customHeight="1" outlineLevel="2" x14ac:dyDescent="0.3">
      <c r="A82" s="26"/>
      <c r="B82" s="12" t="str">
        <f>CONCATENATE("          ","6362"," - ","ADVERTISING EXPENSE")</f>
        <v xml:space="preserve">          6362 - ADVERTISING EXPENSE</v>
      </c>
      <c r="C82" s="12"/>
      <c r="D82" s="8">
        <v>396.83</v>
      </c>
      <c r="E82" s="3"/>
      <c r="F82" s="7">
        <f t="shared" si="12"/>
        <v>4.1770915449353542E-4</v>
      </c>
      <c r="G82" s="3"/>
      <c r="H82" s="8">
        <v>500</v>
      </c>
      <c r="I82" s="3"/>
      <c r="J82" s="7">
        <f t="shared" si="13"/>
        <v>7.6391859683432137E-4</v>
      </c>
      <c r="K82" s="3"/>
      <c r="L82" s="8">
        <f t="shared" si="14"/>
        <v>-103.17000000000002</v>
      </c>
      <c r="M82" s="3"/>
      <c r="N82" s="7">
        <f t="shared" si="15"/>
        <v>-0.20634000000000002</v>
      </c>
      <c r="O82" s="12"/>
      <c r="P82" s="8">
        <v>6820.86</v>
      </c>
      <c r="Q82" s="3"/>
      <c r="R82" s="7">
        <f t="shared" si="16"/>
        <v>1.0511213976483926E-3</v>
      </c>
      <c r="S82" s="3"/>
      <c r="T82" s="8">
        <v>7400</v>
      </c>
      <c r="U82" s="3"/>
      <c r="V82" s="7">
        <f t="shared" si="17"/>
        <v>8.2471239548302796E-4</v>
      </c>
      <c r="W82" s="3"/>
      <c r="X82" s="8">
        <f t="shared" si="18"/>
        <v>-579.14000000000033</v>
      </c>
      <c r="Y82" s="3"/>
      <c r="Z82" s="7">
        <f t="shared" si="19"/>
        <v>-7.826216216216221E-2</v>
      </c>
    </row>
    <row r="83" spans="1:26" s="69" customFormat="1" ht="15" customHeight="1" outlineLevel="1" collapsed="1" x14ac:dyDescent="0.3">
      <c r="A83" s="25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-51.1</v>
      </c>
      <c r="E83" s="2"/>
      <c r="F83" s="6">
        <f t="shared" si="12"/>
        <v>-5.378861929445773E-5</v>
      </c>
      <c r="G83" s="2"/>
      <c r="H83" s="2">
        <f>SUM(OSRRefH22_3x_0)</f>
        <v>235</v>
      </c>
      <c r="I83" s="2"/>
      <c r="J83" s="6">
        <f t="shared" si="13"/>
        <v>3.5904174051213105E-4</v>
      </c>
      <c r="K83" s="2"/>
      <c r="L83" s="2">
        <f t="shared" si="14"/>
        <v>-286.10000000000002</v>
      </c>
      <c r="M83" s="2"/>
      <c r="N83" s="6">
        <f t="shared" si="15"/>
        <v>-1.2174468085106385</v>
      </c>
      <c r="O83" s="14"/>
      <c r="P83" s="2">
        <f>SUM(OSRRefP22_3x_0)</f>
        <v>99.68</v>
      </c>
      <c r="Q83" s="2"/>
      <c r="R83" s="6">
        <f t="shared" si="16"/>
        <v>1.5361080702080351E-5</v>
      </c>
      <c r="S83" s="2"/>
      <c r="T83" s="2">
        <f>SUM(OSRRefT22_3x_0)</f>
        <v>1880</v>
      </c>
      <c r="U83" s="2"/>
      <c r="V83" s="6">
        <f t="shared" si="17"/>
        <v>2.0952152750109359E-4</v>
      </c>
      <c r="W83" s="2"/>
      <c r="X83" s="2">
        <f t="shared" si="18"/>
        <v>-1780.32</v>
      </c>
      <c r="Y83" s="2"/>
      <c r="Z83" s="6">
        <f t="shared" si="19"/>
        <v>-0.94697872340425526</v>
      </c>
    </row>
    <row r="84" spans="1:26" s="70" customFormat="1" ht="15" hidden="1" customHeight="1" outlineLevel="2" x14ac:dyDescent="0.3">
      <c r="A84" s="26"/>
      <c r="B84" s="12" t="str">
        <f>CONCATENATE("          ","6272"," - ","CASH (OVER/SHORT)")</f>
        <v xml:space="preserve">          6272 - CASH (OVER/SHORT)</v>
      </c>
      <c r="C84" s="12"/>
      <c r="D84" s="8">
        <v>-51.1</v>
      </c>
      <c r="E84" s="3"/>
      <c r="F84" s="7">
        <f t="shared" si="12"/>
        <v>-5.378861929445773E-5</v>
      </c>
      <c r="G84" s="3"/>
      <c r="H84" s="8">
        <v>235</v>
      </c>
      <c r="I84" s="3"/>
      <c r="J84" s="7">
        <f t="shared" si="13"/>
        <v>3.5904174051213105E-4</v>
      </c>
      <c r="K84" s="3"/>
      <c r="L84" s="8">
        <f t="shared" si="14"/>
        <v>-286.10000000000002</v>
      </c>
      <c r="M84" s="3"/>
      <c r="N84" s="7">
        <f t="shared" si="15"/>
        <v>-1.2174468085106385</v>
      </c>
      <c r="O84" s="12"/>
      <c r="P84" s="8">
        <v>99.68</v>
      </c>
      <c r="Q84" s="3"/>
      <c r="R84" s="7">
        <f t="shared" si="16"/>
        <v>1.5361080702080351E-5</v>
      </c>
      <c r="S84" s="3"/>
      <c r="T84" s="8">
        <v>1880</v>
      </c>
      <c r="U84" s="3"/>
      <c r="V84" s="7">
        <f t="shared" si="17"/>
        <v>2.0952152750109359E-4</v>
      </c>
      <c r="W84" s="3"/>
      <c r="X84" s="8">
        <f t="shared" si="18"/>
        <v>-1780.32</v>
      </c>
      <c r="Y84" s="3"/>
      <c r="Z84" s="7">
        <f t="shared" si="19"/>
        <v>-0.94697872340425526</v>
      </c>
    </row>
    <row r="85" spans="1:26" s="69" customFormat="1" ht="15" customHeight="1" outlineLevel="1" collapsed="1" x14ac:dyDescent="0.3">
      <c r="A85" s="25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15661.69</v>
      </c>
      <c r="E85" s="2"/>
      <c r="F85" s="6">
        <f t="shared" si="12"/>
        <v>1.648572761091616E-2</v>
      </c>
      <c r="G85" s="2"/>
      <c r="H85" s="2">
        <f>SUM(OSRRefH22_4x_0)</f>
        <v>9656</v>
      </c>
      <c r="I85" s="2"/>
      <c r="J85" s="6">
        <f t="shared" si="13"/>
        <v>1.4752795942064413E-2</v>
      </c>
      <c r="K85" s="2"/>
      <c r="L85" s="2">
        <f t="shared" si="14"/>
        <v>6005.6900000000005</v>
      </c>
      <c r="M85" s="2"/>
      <c r="N85" s="6">
        <f t="shared" si="15"/>
        <v>0.62196458160729085</v>
      </c>
      <c r="O85" s="14"/>
      <c r="P85" s="2">
        <f>SUM(OSRRefP22_4x_0)</f>
        <v>95284.82</v>
      </c>
      <c r="Q85" s="2"/>
      <c r="R85" s="6">
        <f t="shared" si="16"/>
        <v>1.4683766148707865E-2</v>
      </c>
      <c r="S85" s="2"/>
      <c r="T85" s="2">
        <f>SUM(OSRRefT22_4x_0)</f>
        <v>145638</v>
      </c>
      <c r="U85" s="2"/>
      <c r="V85" s="6">
        <f t="shared" si="17"/>
        <v>1.6231008628832057E-2</v>
      </c>
      <c r="W85" s="2"/>
      <c r="X85" s="2">
        <f t="shared" si="18"/>
        <v>-50353.179999999993</v>
      </c>
      <c r="Y85" s="2"/>
      <c r="Z85" s="6">
        <f t="shared" si="19"/>
        <v>-0.34574204534530817</v>
      </c>
    </row>
    <row r="86" spans="1:26" s="70" customFormat="1" ht="15" hidden="1" customHeight="1" outlineLevel="2" x14ac:dyDescent="0.3">
      <c r="A86" s="26"/>
      <c r="B86" s="12" t="str">
        <f>CONCATENATE("          ","6381"," - ","BANK/CREDIT CARD FEES")</f>
        <v xml:space="preserve">          6381 - BANK/CREDIT CARD FEES</v>
      </c>
      <c r="C86" s="12"/>
      <c r="D86" s="8">
        <v>15661.69</v>
      </c>
      <c r="E86" s="3"/>
      <c r="F86" s="7">
        <f t="shared" si="12"/>
        <v>1.648572761091616E-2</v>
      </c>
      <c r="G86" s="3"/>
      <c r="H86" s="8">
        <v>9656</v>
      </c>
      <c r="I86" s="3"/>
      <c r="J86" s="7">
        <f t="shared" si="13"/>
        <v>1.4752795942064413E-2</v>
      </c>
      <c r="K86" s="3"/>
      <c r="L86" s="8">
        <f t="shared" si="14"/>
        <v>6005.6900000000005</v>
      </c>
      <c r="M86" s="3"/>
      <c r="N86" s="7">
        <f t="shared" si="15"/>
        <v>0.62196458160729085</v>
      </c>
      <c r="O86" s="12"/>
      <c r="P86" s="8">
        <v>95284.82</v>
      </c>
      <c r="Q86" s="3"/>
      <c r="R86" s="7">
        <f t="shared" si="16"/>
        <v>1.4683766148707865E-2</v>
      </c>
      <c r="S86" s="3"/>
      <c r="T86" s="8">
        <v>145638</v>
      </c>
      <c r="U86" s="3"/>
      <c r="V86" s="7">
        <f t="shared" si="17"/>
        <v>1.6231008628832057E-2</v>
      </c>
      <c r="W86" s="3"/>
      <c r="X86" s="8">
        <f t="shared" si="18"/>
        <v>-50353.179999999993</v>
      </c>
      <c r="Y86" s="3"/>
      <c r="Z86" s="7">
        <f t="shared" si="19"/>
        <v>-0.34574204534530817</v>
      </c>
    </row>
    <row r="87" spans="1:26" s="69" customFormat="1" ht="15" customHeight="1" outlineLevel="1" collapsed="1" x14ac:dyDescent="0.3">
      <c r="A87" s="25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27820.48</v>
      </c>
      <c r="E87" s="2"/>
      <c r="F87" s="6">
        <f t="shared" si="12"/>
        <v>2.9284250632271532E-2</v>
      </c>
      <c r="G87" s="2"/>
      <c r="H87" s="2">
        <f>SUM(OSRRefH22_5x_0)</f>
        <v>27419</v>
      </c>
      <c r="I87" s="2"/>
      <c r="J87" s="6">
        <f t="shared" si="13"/>
        <v>4.1891768013200513E-2</v>
      </c>
      <c r="K87" s="2"/>
      <c r="L87" s="2">
        <f t="shared" si="14"/>
        <v>401.47999999999956</v>
      </c>
      <c r="M87" s="2"/>
      <c r="N87" s="6">
        <f t="shared" si="15"/>
        <v>1.4642401254604455E-2</v>
      </c>
      <c r="O87" s="14"/>
      <c r="P87" s="2">
        <f>SUM(OSRRefP22_5x_0)</f>
        <v>242140.08000000002</v>
      </c>
      <c r="Q87" s="2"/>
      <c r="R87" s="6">
        <f t="shared" si="16"/>
        <v>3.7314740269745107E-2</v>
      </c>
      <c r="S87" s="2"/>
      <c r="T87" s="2">
        <f>SUM(OSRRefT22_5x_0)</f>
        <v>238929</v>
      </c>
      <c r="U87" s="2"/>
      <c r="V87" s="6">
        <f t="shared" si="17"/>
        <v>2.662806864058978E-2</v>
      </c>
      <c r="W87" s="2"/>
      <c r="X87" s="2">
        <f t="shared" si="18"/>
        <v>3211.0800000000163</v>
      </c>
      <c r="Y87" s="2"/>
      <c r="Z87" s="6">
        <f t="shared" si="19"/>
        <v>1.3439473651168408E-2</v>
      </c>
    </row>
    <row r="88" spans="1:26" s="70" customFormat="1" ht="15" hidden="1" customHeight="1" outlineLevel="2" x14ac:dyDescent="0.3">
      <c r="A88" s="26"/>
      <c r="B88" s="12" t="str">
        <f>CONCATENATE("          ","6321"," - ","BUILDING DEPRECIATION")</f>
        <v xml:space="preserve">          6321 - BUILDING DEPRECIATION</v>
      </c>
      <c r="C88" s="12"/>
      <c r="D88" s="8">
        <v>13321.71</v>
      </c>
      <c r="E88" s="3"/>
      <c r="F88" s="7">
        <f t="shared" si="12"/>
        <v>1.4022629893173589E-2</v>
      </c>
      <c r="G88" s="3"/>
      <c r="H88" s="8"/>
      <c r="I88" s="3"/>
      <c r="J88" s="7">
        <f t="shared" si="13"/>
        <v>0</v>
      </c>
      <c r="K88" s="3"/>
      <c r="L88" s="8">
        <f t="shared" si="14"/>
        <v>13321.71</v>
      </c>
      <c r="M88" s="3"/>
      <c r="N88" s="7">
        <f t="shared" si="15"/>
        <v>0</v>
      </c>
      <c r="O88" s="12"/>
      <c r="P88" s="8">
        <v>125832.42</v>
      </c>
      <c r="Q88" s="3"/>
      <c r="R88" s="7">
        <f t="shared" si="16"/>
        <v>1.9391271654876297E-2</v>
      </c>
      <c r="S88" s="3"/>
      <c r="T88" s="8"/>
      <c r="U88" s="3"/>
      <c r="V88" s="7">
        <f t="shared" si="17"/>
        <v>0</v>
      </c>
      <c r="W88" s="3"/>
      <c r="X88" s="8">
        <f t="shared" si="18"/>
        <v>125832.42</v>
      </c>
      <c r="Y88" s="3"/>
      <c r="Z88" s="7">
        <f t="shared" si="19"/>
        <v>0</v>
      </c>
    </row>
    <row r="89" spans="1:26" s="70" customFormat="1" ht="15" hidden="1" customHeight="1" outlineLevel="2" x14ac:dyDescent="0.3">
      <c r="A89" s="26"/>
      <c r="B89" s="12" t="str">
        <f>CONCATENATE("          ","6322"," - ","EQUIPMENT DEPRECIATION EXPENSE")</f>
        <v xml:space="preserve">          6322 - EQUIPMENT DEPRECIATION EXPENSE</v>
      </c>
      <c r="C89" s="12"/>
      <c r="D89" s="8">
        <v>14498.77</v>
      </c>
      <c r="E89" s="3"/>
      <c r="F89" s="7">
        <f t="shared" si="12"/>
        <v>1.5261620739097943E-2</v>
      </c>
      <c r="G89" s="3"/>
      <c r="H89" s="8">
        <v>27419</v>
      </c>
      <c r="I89" s="3"/>
      <c r="J89" s="7">
        <f t="shared" si="13"/>
        <v>4.1891768013200513E-2</v>
      </c>
      <c r="K89" s="3"/>
      <c r="L89" s="8">
        <f t="shared" si="14"/>
        <v>-12920.23</v>
      </c>
      <c r="M89" s="3"/>
      <c r="N89" s="7">
        <f t="shared" si="15"/>
        <v>-0.47121448630511686</v>
      </c>
      <c r="O89" s="12"/>
      <c r="P89" s="8">
        <v>116307.66</v>
      </c>
      <c r="Q89" s="3"/>
      <c r="R89" s="7">
        <f t="shared" si="16"/>
        <v>1.7923468614868807E-2</v>
      </c>
      <c r="S89" s="3"/>
      <c r="T89" s="8">
        <v>238929</v>
      </c>
      <c r="U89" s="3"/>
      <c r="V89" s="7">
        <f t="shared" si="17"/>
        <v>2.662806864058978E-2</v>
      </c>
      <c r="W89" s="3"/>
      <c r="X89" s="8">
        <f t="shared" si="18"/>
        <v>-122621.34</v>
      </c>
      <c r="Y89" s="3"/>
      <c r="Z89" s="7">
        <f t="shared" si="19"/>
        <v>-0.51321246060545178</v>
      </c>
    </row>
    <row r="90" spans="1:26" s="69" customFormat="1" ht="15" customHeight="1" outlineLevel="1" collapsed="1" x14ac:dyDescent="0.3">
      <c r="A90" s="25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0</v>
      </c>
      <c r="E90" s="2"/>
      <c r="F90" s="6">
        <f t="shared" ref="F90:F121" si="20">IF(D$12=0,0,D90/D$12)</f>
        <v>0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0</v>
      </c>
      <c r="M90" s="2"/>
      <c r="N90" s="6">
        <f t="shared" ref="N90:N121" si="23">IF(H90=0,0,L90/H90)</f>
        <v>0</v>
      </c>
      <c r="O90" s="14"/>
      <c r="P90" s="2">
        <f>SUM(OSRRefP22_6x_0)</f>
        <v>2064.5499999999997</v>
      </c>
      <c r="Q90" s="2"/>
      <c r="R90" s="6">
        <f t="shared" ref="R90:R121" si="24">IF(P$12=0,0,P90/P$12)</f>
        <v>3.18155288558186E-4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2064.5499999999997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3">
      <c r="A91" s="26"/>
      <c r="B91" s="12" t="str">
        <f>CONCATENATE("          ","6382"," - ","DISCOUNTS/MARK DOWNS")</f>
        <v xml:space="preserve">          6382 - DISCOUNTS/MARK DOWNS</v>
      </c>
      <c r="C91" s="12"/>
      <c r="D91" s="8"/>
      <c r="E91" s="3"/>
      <c r="F91" s="7">
        <f t="shared" si="20"/>
        <v>0</v>
      </c>
      <c r="G91" s="3"/>
      <c r="H91" s="8"/>
      <c r="I91" s="3"/>
      <c r="J91" s="7">
        <f t="shared" si="21"/>
        <v>0</v>
      </c>
      <c r="K91" s="3"/>
      <c r="L91" s="8">
        <f t="shared" si="22"/>
        <v>0</v>
      </c>
      <c r="M91" s="3"/>
      <c r="N91" s="7">
        <f t="shared" si="23"/>
        <v>0</v>
      </c>
      <c r="O91" s="12"/>
      <c r="P91" s="8">
        <v>2171.35</v>
      </c>
      <c r="Q91" s="3"/>
      <c r="R91" s="7">
        <f t="shared" si="24"/>
        <v>3.3461358931041496E-4</v>
      </c>
      <c r="S91" s="3"/>
      <c r="T91" s="8">
        <v>0</v>
      </c>
      <c r="U91" s="3"/>
      <c r="V91" s="7">
        <f t="shared" si="25"/>
        <v>0</v>
      </c>
      <c r="W91" s="3"/>
      <c r="X91" s="8">
        <f t="shared" si="26"/>
        <v>2171.35</v>
      </c>
      <c r="Y91" s="3"/>
      <c r="Z91" s="7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","9175"," - ","EARNED DISCOUNTS")</f>
        <v xml:space="preserve">          9175 - EARNED DISCOUNTS</v>
      </c>
      <c r="C92" s="12"/>
      <c r="D92" s="8">
        <v>0</v>
      </c>
      <c r="E92" s="3"/>
      <c r="F92" s="7">
        <f t="shared" si="20"/>
        <v>0</v>
      </c>
      <c r="G92" s="3"/>
      <c r="H92" s="8"/>
      <c r="I92" s="3"/>
      <c r="J92" s="7">
        <f t="shared" si="21"/>
        <v>0</v>
      </c>
      <c r="K92" s="3"/>
      <c r="L92" s="8">
        <f t="shared" si="22"/>
        <v>0</v>
      </c>
      <c r="M92" s="3"/>
      <c r="N92" s="7">
        <f t="shared" si="23"/>
        <v>0</v>
      </c>
      <c r="O92" s="12"/>
      <c r="P92" s="8">
        <v>-106.8</v>
      </c>
      <c r="Q92" s="3"/>
      <c r="R92" s="7">
        <f t="shared" si="24"/>
        <v>-1.6458300752228945E-5</v>
      </c>
      <c r="S92" s="3"/>
      <c r="T92" s="8"/>
      <c r="U92" s="3"/>
      <c r="V92" s="7">
        <f t="shared" si="25"/>
        <v>0</v>
      </c>
      <c r="W92" s="3"/>
      <c r="X92" s="8">
        <f t="shared" si="26"/>
        <v>-106.8</v>
      </c>
      <c r="Y92" s="3"/>
      <c r="Z92" s="7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2998.05</v>
      </c>
      <c r="E93" s="2"/>
      <c r="F93" s="6">
        <f t="shared" si="20"/>
        <v>3.1557919779990019E-3</v>
      </c>
      <c r="G93" s="2"/>
      <c r="H93" s="2">
        <f>SUM(OSRRefH22_7x_0)</f>
        <v>1250</v>
      </c>
      <c r="I93" s="2"/>
      <c r="J93" s="6">
        <f t="shared" si="21"/>
        <v>1.9097964920858034E-3</v>
      </c>
      <c r="K93" s="2"/>
      <c r="L93" s="2">
        <f t="shared" si="22"/>
        <v>1748.0500000000002</v>
      </c>
      <c r="M93" s="2"/>
      <c r="N93" s="6">
        <f t="shared" si="23"/>
        <v>1.3984400000000001</v>
      </c>
      <c r="O93" s="14"/>
      <c r="P93" s="2">
        <f>SUM(OSRRefP22_7x_0)</f>
        <v>5818.27</v>
      </c>
      <c r="Q93" s="2"/>
      <c r="R93" s="6">
        <f t="shared" si="24"/>
        <v>8.9661832881714535E-4</v>
      </c>
      <c r="S93" s="2"/>
      <c r="T93" s="2">
        <f>SUM(OSRRefT22_7x_0)</f>
        <v>10000</v>
      </c>
      <c r="U93" s="2"/>
      <c r="V93" s="6">
        <f t="shared" si="25"/>
        <v>1.1144762101121999E-3</v>
      </c>
      <c r="W93" s="2"/>
      <c r="X93" s="2">
        <f t="shared" si="26"/>
        <v>-4181.7299999999996</v>
      </c>
      <c r="Y93" s="2"/>
      <c r="Z93" s="6">
        <f t="shared" si="27"/>
        <v>-0.41817299999999996</v>
      </c>
    </row>
    <row r="94" spans="1:26" s="70" customFormat="1" ht="15" hidden="1" customHeight="1" outlineLevel="2" x14ac:dyDescent="0.3">
      <c r="A94" s="26"/>
      <c r="B94" s="12" t="str">
        <f>CONCATENATE("          ","6399"," - ","DONATION-ON CAMPUS")</f>
        <v xml:space="preserve">          6399 - DONATION-ON CAMPUS</v>
      </c>
      <c r="C94" s="12"/>
      <c r="D94" s="8">
        <v>2998.05</v>
      </c>
      <c r="E94" s="3"/>
      <c r="F94" s="7">
        <f t="shared" si="20"/>
        <v>3.1557919779990019E-3</v>
      </c>
      <c r="G94" s="3"/>
      <c r="H94" s="8">
        <v>1250</v>
      </c>
      <c r="I94" s="3"/>
      <c r="J94" s="7">
        <f t="shared" si="21"/>
        <v>1.9097964920858034E-3</v>
      </c>
      <c r="K94" s="3"/>
      <c r="L94" s="8">
        <f t="shared" si="22"/>
        <v>1748.0500000000002</v>
      </c>
      <c r="M94" s="3"/>
      <c r="N94" s="7">
        <f t="shared" si="23"/>
        <v>1.3984400000000001</v>
      </c>
      <c r="O94" s="12"/>
      <c r="P94" s="8">
        <v>5818.27</v>
      </c>
      <c r="Q94" s="3"/>
      <c r="R94" s="7">
        <f t="shared" si="24"/>
        <v>8.9661832881714535E-4</v>
      </c>
      <c r="S94" s="3"/>
      <c r="T94" s="8">
        <v>10000</v>
      </c>
      <c r="U94" s="3"/>
      <c r="V94" s="7">
        <f t="shared" si="25"/>
        <v>1.1144762101121999E-3</v>
      </c>
      <c r="W94" s="3"/>
      <c r="X94" s="8">
        <f t="shared" si="26"/>
        <v>-4181.7299999999996</v>
      </c>
      <c r="Y94" s="3"/>
      <c r="Z94" s="7">
        <f t="shared" si="27"/>
        <v>-0.41817299999999996</v>
      </c>
    </row>
    <row r="95" spans="1:26" s="69" customFormat="1" ht="15" customHeight="1" outlineLevel="1" collapsed="1" x14ac:dyDescent="0.3">
      <c r="A95" s="25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0</v>
      </c>
      <c r="E95" s="2"/>
      <c r="F95" s="6">
        <f t="shared" si="20"/>
        <v>0</v>
      </c>
      <c r="G95" s="2"/>
      <c r="H95" s="2">
        <f>SUM(OSRRefH22_8x_0)</f>
        <v>245</v>
      </c>
      <c r="I95" s="2"/>
      <c r="J95" s="6">
        <f t="shared" si="21"/>
        <v>3.7432011244881744E-4</v>
      </c>
      <c r="K95" s="2"/>
      <c r="L95" s="2">
        <f t="shared" si="22"/>
        <v>-245</v>
      </c>
      <c r="M95" s="2"/>
      <c r="N95" s="6">
        <f t="shared" si="23"/>
        <v>-1</v>
      </c>
      <c r="O95" s="14"/>
      <c r="P95" s="2">
        <f>SUM(OSRRefP22_8x_0)</f>
        <v>4245.1899999999996</v>
      </c>
      <c r="Q95" s="2"/>
      <c r="R95" s="6">
        <f t="shared" si="24"/>
        <v>6.5420050346774153E-4</v>
      </c>
      <c r="S95" s="2"/>
      <c r="T95" s="2">
        <f>SUM(OSRRefT22_8x_0)</f>
        <v>1960</v>
      </c>
      <c r="U95" s="2"/>
      <c r="V95" s="6">
        <f t="shared" si="25"/>
        <v>2.1843733718199119E-4</v>
      </c>
      <c r="W95" s="2"/>
      <c r="X95" s="2">
        <f t="shared" si="26"/>
        <v>2285.1899999999996</v>
      </c>
      <c r="Y95" s="2"/>
      <c r="Z95" s="6">
        <f t="shared" si="27"/>
        <v>1.1659132653061222</v>
      </c>
    </row>
    <row r="96" spans="1:26" s="70" customFormat="1" ht="15" hidden="1" customHeight="1" outlineLevel="2" x14ac:dyDescent="0.3">
      <c r="A96" s="26"/>
      <c r="B96" s="12" t="str">
        <f>CONCATENATE("          ","6277"," - ","EMPLOYEE APPRECIATION")</f>
        <v xml:space="preserve">          6277 - EMPLOYEE APPRECIATION</v>
      </c>
      <c r="C96" s="12"/>
      <c r="D96" s="8"/>
      <c r="E96" s="3"/>
      <c r="F96" s="7">
        <f t="shared" si="20"/>
        <v>0</v>
      </c>
      <c r="G96" s="3"/>
      <c r="H96" s="8">
        <v>245</v>
      </c>
      <c r="I96" s="3"/>
      <c r="J96" s="7">
        <f t="shared" si="21"/>
        <v>3.7432011244881744E-4</v>
      </c>
      <c r="K96" s="3"/>
      <c r="L96" s="8">
        <f t="shared" si="22"/>
        <v>-245</v>
      </c>
      <c r="M96" s="3"/>
      <c r="N96" s="7">
        <f t="shared" si="23"/>
        <v>-1</v>
      </c>
      <c r="O96" s="12"/>
      <c r="P96" s="8">
        <v>4245.1899999999996</v>
      </c>
      <c r="Q96" s="3"/>
      <c r="R96" s="7">
        <f t="shared" si="24"/>
        <v>6.5420050346774153E-4</v>
      </c>
      <c r="S96" s="3"/>
      <c r="T96" s="8">
        <v>1960</v>
      </c>
      <c r="U96" s="3"/>
      <c r="V96" s="7">
        <f t="shared" si="25"/>
        <v>2.1843733718199119E-4</v>
      </c>
      <c r="W96" s="3"/>
      <c r="X96" s="8">
        <f t="shared" si="26"/>
        <v>2285.1899999999996</v>
      </c>
      <c r="Y96" s="3"/>
      <c r="Z96" s="7">
        <f t="shared" si="27"/>
        <v>1.1659132653061222</v>
      </c>
    </row>
    <row r="97" spans="1:26" s="69" customFormat="1" ht="15" customHeight="1" outlineLevel="1" collapsed="1" x14ac:dyDescent="0.3">
      <c r="A97" s="25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1388.16</v>
      </c>
      <c r="E97" s="2"/>
      <c r="F97" s="6">
        <f t="shared" si="20"/>
        <v>1.4611978426574256E-3</v>
      </c>
      <c r="G97" s="2"/>
      <c r="H97" s="2">
        <f>SUM(OSRRefH22_9x_0)</f>
        <v>1700</v>
      </c>
      <c r="I97" s="2"/>
      <c r="J97" s="6">
        <f t="shared" si="21"/>
        <v>2.5973232292366925E-3</v>
      </c>
      <c r="K97" s="2"/>
      <c r="L97" s="2">
        <f t="shared" si="22"/>
        <v>-311.83999999999992</v>
      </c>
      <c r="M97" s="2"/>
      <c r="N97" s="6">
        <f t="shared" si="23"/>
        <v>-0.183435294117647</v>
      </c>
      <c r="O97" s="14"/>
      <c r="P97" s="2">
        <f>SUM(OSRRefP22_9x_0)</f>
        <v>12698.1</v>
      </c>
      <c r="Q97" s="2"/>
      <c r="R97" s="6">
        <f t="shared" si="24"/>
        <v>1.9568272357853782E-3</v>
      </c>
      <c r="S97" s="2"/>
      <c r="T97" s="2">
        <f>SUM(OSRRefT22_9x_0)</f>
        <v>13400</v>
      </c>
      <c r="U97" s="2"/>
      <c r="V97" s="6">
        <f t="shared" si="25"/>
        <v>1.4933981215503479E-3</v>
      </c>
      <c r="W97" s="2"/>
      <c r="X97" s="2">
        <f t="shared" si="26"/>
        <v>-701.89999999999964</v>
      </c>
      <c r="Y97" s="2"/>
      <c r="Z97" s="6">
        <f t="shared" si="27"/>
        <v>-5.2380597014925347E-2</v>
      </c>
    </row>
    <row r="98" spans="1:26" s="70" customFormat="1" ht="15" hidden="1" customHeight="1" outlineLevel="2" x14ac:dyDescent="0.3">
      <c r="A98" s="26"/>
      <c r="B98" s="12" t="str">
        <f>CONCATENATE("          ","6351"," - ","EQUIPMENT RENTAL")</f>
        <v xml:space="preserve">          6351 - EQUIPMENT RENTAL</v>
      </c>
      <c r="C98" s="12"/>
      <c r="D98" s="8">
        <v>1388.16</v>
      </c>
      <c r="E98" s="3"/>
      <c r="F98" s="7">
        <f t="shared" si="20"/>
        <v>1.4611978426574256E-3</v>
      </c>
      <c r="G98" s="3"/>
      <c r="H98" s="8">
        <v>1700</v>
      </c>
      <c r="I98" s="3"/>
      <c r="J98" s="7">
        <f t="shared" si="21"/>
        <v>2.5973232292366925E-3</v>
      </c>
      <c r="K98" s="3"/>
      <c r="L98" s="8">
        <f t="shared" si="22"/>
        <v>-311.83999999999992</v>
      </c>
      <c r="M98" s="3"/>
      <c r="N98" s="7">
        <f t="shared" si="23"/>
        <v>-0.183435294117647</v>
      </c>
      <c r="O98" s="12"/>
      <c r="P98" s="8">
        <v>12698.1</v>
      </c>
      <c r="Q98" s="3"/>
      <c r="R98" s="7">
        <f t="shared" si="24"/>
        <v>1.9568272357853782E-3</v>
      </c>
      <c r="S98" s="3"/>
      <c r="T98" s="8">
        <v>13400</v>
      </c>
      <c r="U98" s="3"/>
      <c r="V98" s="7">
        <f t="shared" si="25"/>
        <v>1.4933981215503479E-3</v>
      </c>
      <c r="W98" s="3"/>
      <c r="X98" s="8">
        <f t="shared" si="26"/>
        <v>-701.89999999999964</v>
      </c>
      <c r="Y98" s="3"/>
      <c r="Z98" s="7">
        <f t="shared" si="27"/>
        <v>-5.2380597014925347E-2</v>
      </c>
    </row>
    <row r="99" spans="1:26" s="69" customFormat="1" ht="15" customHeight="1" outlineLevel="1" collapsed="1" x14ac:dyDescent="0.3">
      <c r="A99" s="25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-7059.8099999999995</v>
      </c>
      <c r="E99" s="2"/>
      <c r="F99" s="6">
        <f t="shared" si="20"/>
        <v>-7.431260907655687E-3</v>
      </c>
      <c r="G99" s="2"/>
      <c r="H99" s="2">
        <f>SUM(OSRRefH22_10x_0)</f>
        <v>1965</v>
      </c>
      <c r="I99" s="2"/>
      <c r="J99" s="6">
        <f t="shared" si="21"/>
        <v>3.0022000855588829E-3</v>
      </c>
      <c r="K99" s="2"/>
      <c r="L99" s="2">
        <f t="shared" si="22"/>
        <v>-9024.81</v>
      </c>
      <c r="M99" s="2"/>
      <c r="N99" s="6">
        <f t="shared" si="23"/>
        <v>-4.5927786259541978</v>
      </c>
      <c r="O99" s="14"/>
      <c r="P99" s="2">
        <f>SUM(OSRRefP22_10x_0)</f>
        <v>-46385.78</v>
      </c>
      <c r="Q99" s="2"/>
      <c r="R99" s="6">
        <f t="shared" si="24"/>
        <v>-7.1482314406996856E-3</v>
      </c>
      <c r="S99" s="2"/>
      <c r="T99" s="2">
        <f>SUM(OSRRefT22_10x_0)</f>
        <v>-14880</v>
      </c>
      <c r="U99" s="2"/>
      <c r="V99" s="6">
        <f t="shared" si="25"/>
        <v>-1.6583406006469535E-3</v>
      </c>
      <c r="W99" s="2"/>
      <c r="X99" s="2">
        <f t="shared" si="26"/>
        <v>-31505.78</v>
      </c>
      <c r="Y99" s="2"/>
      <c r="Z99" s="6">
        <f t="shared" si="27"/>
        <v>2.1173239247311826</v>
      </c>
    </row>
    <row r="100" spans="1:26" s="70" customFormat="1" ht="15" hidden="1" customHeight="1" outlineLevel="2" x14ac:dyDescent="0.3">
      <c r="A100" s="26"/>
      <c r="B100" s="12" t="str">
        <f>CONCATENATE("          ","6305"," - ","FREIGHT OUT")</f>
        <v xml:space="preserve">          6305 - FREIGHT OUT</v>
      </c>
      <c r="C100" s="12"/>
      <c r="D100" s="8">
        <v>7594.99</v>
      </c>
      <c r="E100" s="3"/>
      <c r="F100" s="7">
        <f t="shared" si="20"/>
        <v>7.9945993278906745E-3</v>
      </c>
      <c r="G100" s="3"/>
      <c r="H100" s="8">
        <v>23865</v>
      </c>
      <c r="I100" s="3"/>
      <c r="J100" s="7">
        <f t="shared" si="21"/>
        <v>3.6461834626902161E-2</v>
      </c>
      <c r="K100" s="3"/>
      <c r="L100" s="8">
        <f t="shared" si="22"/>
        <v>-16270.01</v>
      </c>
      <c r="M100" s="3"/>
      <c r="N100" s="7">
        <f t="shared" si="23"/>
        <v>-0.68175193798449618</v>
      </c>
      <c r="O100" s="12"/>
      <c r="P100" s="8">
        <v>101853.57</v>
      </c>
      <c r="Q100" s="3"/>
      <c r="R100" s="7">
        <f t="shared" si="24"/>
        <v>1.5696036402136741E-2</v>
      </c>
      <c r="S100" s="3"/>
      <c r="T100" s="8">
        <v>139320</v>
      </c>
      <c r="U100" s="3"/>
      <c r="V100" s="7">
        <f t="shared" si="25"/>
        <v>1.5526882559283169E-2</v>
      </c>
      <c r="W100" s="3"/>
      <c r="X100" s="8">
        <f t="shared" si="26"/>
        <v>-37466.429999999993</v>
      </c>
      <c r="Y100" s="3"/>
      <c r="Z100" s="7">
        <f t="shared" si="27"/>
        <v>-0.26892355727820838</v>
      </c>
    </row>
    <row r="101" spans="1:26" s="70" customFormat="1" ht="15" hidden="1" customHeight="1" outlineLevel="2" x14ac:dyDescent="0.3">
      <c r="A101" s="26"/>
      <c r="B101" s="12" t="str">
        <f>CONCATENATE("          ","6307"," - ","POSTAGE")</f>
        <v xml:space="preserve">          6307 - POSTAGE</v>
      </c>
      <c r="C101" s="12"/>
      <c r="D101" s="8">
        <v>-14654.8</v>
      </c>
      <c r="E101" s="3"/>
      <c r="F101" s="7">
        <f t="shared" si="20"/>
        <v>-1.5425860235546362E-2</v>
      </c>
      <c r="G101" s="3"/>
      <c r="H101" s="8">
        <v>-21900</v>
      </c>
      <c r="I101" s="3"/>
      <c r="J101" s="7">
        <f t="shared" si="21"/>
        <v>-3.3459634541343278E-2</v>
      </c>
      <c r="K101" s="3"/>
      <c r="L101" s="8">
        <f t="shared" si="22"/>
        <v>7245.2000000000007</v>
      </c>
      <c r="M101" s="3"/>
      <c r="N101" s="7">
        <f t="shared" si="23"/>
        <v>-0.33083105022831055</v>
      </c>
      <c r="O101" s="12"/>
      <c r="P101" s="8">
        <v>-148239.35</v>
      </c>
      <c r="Q101" s="3"/>
      <c r="R101" s="7">
        <f t="shared" si="24"/>
        <v>-2.2844267842836424E-2</v>
      </c>
      <c r="S101" s="3"/>
      <c r="T101" s="8">
        <v>-154200</v>
      </c>
      <c r="U101" s="3"/>
      <c r="V101" s="7">
        <f t="shared" si="25"/>
        <v>-1.7185223159930121E-2</v>
      </c>
      <c r="W101" s="3"/>
      <c r="X101" s="8">
        <f t="shared" si="26"/>
        <v>5960.6499999999942</v>
      </c>
      <c r="Y101" s="3"/>
      <c r="Z101" s="7">
        <f t="shared" si="27"/>
        <v>-3.8655317769130962E-2</v>
      </c>
    </row>
    <row r="102" spans="1:26" s="69" customFormat="1" ht="15" customHeight="1" outlineLevel="1" collapsed="1" x14ac:dyDescent="0.3">
      <c r="A102" s="25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1424.16</v>
      </c>
      <c r="E102" s="2"/>
      <c r="F102" s="6">
        <f t="shared" si="20"/>
        <v>1.4990919775811139E-3</v>
      </c>
      <c r="G102" s="2"/>
      <c r="H102" s="2">
        <f>SUM(OSRRefH22_11x_0)</f>
        <v>355</v>
      </c>
      <c r="I102" s="2"/>
      <c r="J102" s="6">
        <f t="shared" si="21"/>
        <v>5.4238220375236817E-4</v>
      </c>
      <c r="K102" s="2"/>
      <c r="L102" s="2">
        <f t="shared" si="22"/>
        <v>1069.1600000000001</v>
      </c>
      <c r="M102" s="2"/>
      <c r="N102" s="6">
        <f t="shared" si="23"/>
        <v>3.0117183098591553</v>
      </c>
      <c r="O102" s="14"/>
      <c r="P102" s="2">
        <f>SUM(OSRRefP22_11x_0)</f>
        <v>5755.35</v>
      </c>
      <c r="Q102" s="2"/>
      <c r="R102" s="6">
        <f t="shared" si="24"/>
        <v>8.8692210893577593E-4</v>
      </c>
      <c r="S102" s="2"/>
      <c r="T102" s="2">
        <f>SUM(OSRRefT22_11x_0)</f>
        <v>4590</v>
      </c>
      <c r="U102" s="2"/>
      <c r="V102" s="6">
        <f t="shared" si="25"/>
        <v>5.1154458044149972E-4</v>
      </c>
      <c r="W102" s="2"/>
      <c r="X102" s="2">
        <f t="shared" si="26"/>
        <v>1165.3500000000004</v>
      </c>
      <c r="Y102" s="2"/>
      <c r="Z102" s="6">
        <f t="shared" si="27"/>
        <v>0.25388888888888894</v>
      </c>
    </row>
    <row r="103" spans="1:26" s="70" customFormat="1" ht="15" hidden="1" customHeight="1" outlineLevel="2" x14ac:dyDescent="0.3">
      <c r="A103" s="26"/>
      <c r="B103" s="12" t="str">
        <f>CONCATENATE("          ","6276"," - ","PROPERTY TAX")</f>
        <v xml:space="preserve">          6276 - PROPERTY TAX</v>
      </c>
      <c r="C103" s="12"/>
      <c r="D103" s="8"/>
      <c r="E103" s="3"/>
      <c r="F103" s="7">
        <f t="shared" si="20"/>
        <v>0</v>
      </c>
      <c r="G103" s="3"/>
      <c r="H103" s="8"/>
      <c r="I103" s="3"/>
      <c r="J103" s="7">
        <f t="shared" si="21"/>
        <v>0</v>
      </c>
      <c r="K103" s="3"/>
      <c r="L103" s="8">
        <f t="shared" si="22"/>
        <v>0</v>
      </c>
      <c r="M103" s="3"/>
      <c r="N103" s="7">
        <f t="shared" si="23"/>
        <v>0</v>
      </c>
      <c r="O103" s="12"/>
      <c r="P103" s="8"/>
      <c r="Q103" s="3"/>
      <c r="R103" s="7">
        <f t="shared" si="24"/>
        <v>0</v>
      </c>
      <c r="S103" s="3"/>
      <c r="T103" s="8">
        <v>1250</v>
      </c>
      <c r="U103" s="3"/>
      <c r="V103" s="7">
        <f t="shared" si="25"/>
        <v>1.3930952626402498E-4</v>
      </c>
      <c r="W103" s="3"/>
      <c r="X103" s="8">
        <f t="shared" si="26"/>
        <v>-1250</v>
      </c>
      <c r="Y103" s="3"/>
      <c r="Z103" s="7">
        <f t="shared" si="27"/>
        <v>-1</v>
      </c>
    </row>
    <row r="104" spans="1:26" s="70" customFormat="1" ht="15" hidden="1" customHeight="1" outlineLevel="2" x14ac:dyDescent="0.3">
      <c r="A104" s="26"/>
      <c r="B104" s="12" t="str">
        <f>CONCATENATE("          ","6279"," - ","GENERAL EXPENSE")</f>
        <v xml:space="preserve">          6279 - GENERAL EXPENSE</v>
      </c>
      <c r="C104" s="12"/>
      <c r="D104" s="8">
        <v>1424.16</v>
      </c>
      <c r="E104" s="3"/>
      <c r="F104" s="7">
        <f t="shared" si="20"/>
        <v>1.4990919775811139E-3</v>
      </c>
      <c r="G104" s="3"/>
      <c r="H104" s="8">
        <v>355</v>
      </c>
      <c r="I104" s="3"/>
      <c r="J104" s="7">
        <f t="shared" si="21"/>
        <v>5.4238220375236817E-4</v>
      </c>
      <c r="K104" s="3"/>
      <c r="L104" s="8">
        <f t="shared" si="22"/>
        <v>1069.1600000000001</v>
      </c>
      <c r="M104" s="3"/>
      <c r="N104" s="7">
        <f t="shared" si="23"/>
        <v>3.0117183098591553</v>
      </c>
      <c r="O104" s="12"/>
      <c r="P104" s="8">
        <v>5755.35</v>
      </c>
      <c r="Q104" s="3"/>
      <c r="R104" s="7">
        <f t="shared" si="24"/>
        <v>8.8692210893577593E-4</v>
      </c>
      <c r="S104" s="3"/>
      <c r="T104" s="8">
        <v>3340</v>
      </c>
      <c r="U104" s="3"/>
      <c r="V104" s="7">
        <f t="shared" si="25"/>
        <v>3.7223505417747474E-4</v>
      </c>
      <c r="W104" s="3"/>
      <c r="X104" s="8">
        <f t="shared" si="26"/>
        <v>2415.3500000000004</v>
      </c>
      <c r="Y104" s="3"/>
      <c r="Z104" s="7">
        <f t="shared" si="27"/>
        <v>0.7231586826347306</v>
      </c>
    </row>
    <row r="105" spans="1:26" s="69" customFormat="1" ht="15" customHeight="1" outlineLevel="1" collapsed="1" x14ac:dyDescent="0.3">
      <c r="A105" s="25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5494.57</v>
      </c>
      <c r="E105" s="2"/>
      <c r="F105" s="6">
        <f t="shared" si="20"/>
        <v>5.7836660257680741E-3</v>
      </c>
      <c r="G105" s="2"/>
      <c r="H105" s="2">
        <f>SUM(OSRRefH22_12x_0)</f>
        <v>5375</v>
      </c>
      <c r="I105" s="2"/>
      <c r="J105" s="6">
        <f t="shared" si="21"/>
        <v>8.2121249159689547E-3</v>
      </c>
      <c r="K105" s="2"/>
      <c r="L105" s="2">
        <f t="shared" si="22"/>
        <v>119.56999999999971</v>
      </c>
      <c r="M105" s="2"/>
      <c r="N105" s="6">
        <f t="shared" si="23"/>
        <v>2.2245581395348782E-2</v>
      </c>
      <c r="O105" s="14"/>
      <c r="P105" s="2">
        <f>SUM(OSRRefP22_12x_0)</f>
        <v>43956.56</v>
      </c>
      <c r="Q105" s="2"/>
      <c r="R105" s="6">
        <f t="shared" si="24"/>
        <v>6.773879068477498E-3</v>
      </c>
      <c r="S105" s="2"/>
      <c r="T105" s="2">
        <f>SUM(OSRRefT22_12x_0)</f>
        <v>43000</v>
      </c>
      <c r="U105" s="2"/>
      <c r="V105" s="6">
        <f t="shared" si="25"/>
        <v>4.7922477034824593E-3</v>
      </c>
      <c r="W105" s="2"/>
      <c r="X105" s="2">
        <f t="shared" si="26"/>
        <v>956.55999999999767</v>
      </c>
      <c r="Y105" s="2"/>
      <c r="Z105" s="6">
        <f t="shared" si="27"/>
        <v>2.2245581395348782E-2</v>
      </c>
    </row>
    <row r="106" spans="1:26" s="70" customFormat="1" ht="15" hidden="1" customHeight="1" outlineLevel="2" x14ac:dyDescent="0.3">
      <c r="A106" s="26"/>
      <c r="B106" s="12" t="str">
        <f>CONCATENATE("          ","6314"," - ","LIABILITY INSURANCE")</f>
        <v xml:space="preserve">          6314 - LIABILITY INSURANCE</v>
      </c>
      <c r="C106" s="12"/>
      <c r="D106" s="8">
        <v>5494.57</v>
      </c>
      <c r="E106" s="3"/>
      <c r="F106" s="7">
        <f t="shared" si="20"/>
        <v>5.7836660257680741E-3</v>
      </c>
      <c r="G106" s="3"/>
      <c r="H106" s="8">
        <v>5375</v>
      </c>
      <c r="I106" s="3"/>
      <c r="J106" s="7">
        <f t="shared" si="21"/>
        <v>8.2121249159689547E-3</v>
      </c>
      <c r="K106" s="3"/>
      <c r="L106" s="8">
        <f t="shared" si="22"/>
        <v>119.56999999999971</v>
      </c>
      <c r="M106" s="3"/>
      <c r="N106" s="7">
        <f t="shared" si="23"/>
        <v>2.2245581395348782E-2</v>
      </c>
      <c r="O106" s="12"/>
      <c r="P106" s="8">
        <v>43956.56</v>
      </c>
      <c r="Q106" s="3"/>
      <c r="R106" s="7">
        <f t="shared" si="24"/>
        <v>6.773879068477498E-3</v>
      </c>
      <c r="S106" s="3"/>
      <c r="T106" s="8">
        <v>43000</v>
      </c>
      <c r="U106" s="3"/>
      <c r="V106" s="7">
        <f t="shared" si="25"/>
        <v>4.7922477034824593E-3</v>
      </c>
      <c r="W106" s="3"/>
      <c r="X106" s="8">
        <f t="shared" si="26"/>
        <v>956.55999999999767</v>
      </c>
      <c r="Y106" s="3"/>
      <c r="Z106" s="7">
        <f t="shared" si="27"/>
        <v>2.2245581395348782E-2</v>
      </c>
    </row>
    <row r="107" spans="1:26" s="69" customFormat="1" ht="15" customHeight="1" outlineLevel="1" collapsed="1" x14ac:dyDescent="0.3">
      <c r="A107" s="25"/>
      <c r="B107" s="14" t="str">
        <f>CONCATENATE("     ","Inventory Adjustment                              ")</f>
        <v xml:space="preserve">     Inventory Adjustment                              </v>
      </c>
      <c r="C107" s="14"/>
      <c r="D107" s="2">
        <f>SUM(OSRRefD22_13x_0)</f>
        <v>5690</v>
      </c>
      <c r="E107" s="2"/>
      <c r="F107" s="6">
        <f t="shared" si="20"/>
        <v>5.9893785476607527E-3</v>
      </c>
      <c r="G107" s="2"/>
      <c r="H107" s="2">
        <f>SUM(OSRRefH22_13x_0)</f>
        <v>5690</v>
      </c>
      <c r="I107" s="2"/>
      <c r="J107" s="6">
        <f t="shared" si="21"/>
        <v>8.6933936319745775E-3</v>
      </c>
      <c r="K107" s="2"/>
      <c r="L107" s="2">
        <f t="shared" si="22"/>
        <v>0</v>
      </c>
      <c r="M107" s="2"/>
      <c r="N107" s="6">
        <f t="shared" si="23"/>
        <v>0</v>
      </c>
      <c r="O107" s="14"/>
      <c r="P107" s="2">
        <f>SUM(OSRRefP22_13x_0)</f>
        <v>52000</v>
      </c>
      <c r="Q107" s="2"/>
      <c r="R107" s="6">
        <f t="shared" si="24"/>
        <v>8.0134048606358161E-3</v>
      </c>
      <c r="S107" s="2"/>
      <c r="T107" s="2">
        <f>SUM(OSRRefT22_13x_0)</f>
        <v>52710</v>
      </c>
      <c r="U107" s="2"/>
      <c r="V107" s="6">
        <f t="shared" si="25"/>
        <v>5.874404103501406E-3</v>
      </c>
      <c r="W107" s="2"/>
      <c r="X107" s="2">
        <f t="shared" si="26"/>
        <v>-710</v>
      </c>
      <c r="Y107" s="2"/>
      <c r="Z107" s="6">
        <f t="shared" si="27"/>
        <v>-1.346992980459116E-2</v>
      </c>
    </row>
    <row r="108" spans="1:26" s="70" customFormat="1" ht="15" hidden="1" customHeight="1" outlineLevel="2" x14ac:dyDescent="0.3">
      <c r="A108" s="26"/>
      <c r="B108" s="12" t="str">
        <f>CONCATENATE("          ","6408"," - ","INVENTORY ADJUSTMENT")</f>
        <v xml:space="preserve">          6408 - INVENTORY ADJUSTMENT</v>
      </c>
      <c r="C108" s="12"/>
      <c r="D108" s="8">
        <v>5690</v>
      </c>
      <c r="E108" s="3"/>
      <c r="F108" s="7">
        <f t="shared" si="20"/>
        <v>5.9893785476607527E-3</v>
      </c>
      <c r="G108" s="3"/>
      <c r="H108" s="8">
        <v>5690</v>
      </c>
      <c r="I108" s="3"/>
      <c r="J108" s="7">
        <f t="shared" si="21"/>
        <v>8.6933936319745775E-3</v>
      </c>
      <c r="K108" s="3"/>
      <c r="L108" s="8">
        <f t="shared" si="22"/>
        <v>0</v>
      </c>
      <c r="M108" s="3"/>
      <c r="N108" s="7">
        <f t="shared" si="23"/>
        <v>0</v>
      </c>
      <c r="O108" s="12"/>
      <c r="P108" s="8">
        <v>52000</v>
      </c>
      <c r="Q108" s="3"/>
      <c r="R108" s="7">
        <f t="shared" si="24"/>
        <v>8.0134048606358161E-3</v>
      </c>
      <c r="S108" s="3"/>
      <c r="T108" s="8">
        <v>52710</v>
      </c>
      <c r="U108" s="3"/>
      <c r="V108" s="7">
        <f t="shared" si="25"/>
        <v>5.874404103501406E-3</v>
      </c>
      <c r="W108" s="3"/>
      <c r="X108" s="8">
        <f t="shared" si="26"/>
        <v>-710</v>
      </c>
      <c r="Y108" s="3"/>
      <c r="Z108" s="7">
        <f t="shared" si="27"/>
        <v>-1.346992980459116E-2</v>
      </c>
    </row>
    <row r="109" spans="1:26" s="69" customFormat="1" ht="15" customHeight="1" outlineLevel="1" collapsed="1" x14ac:dyDescent="0.3">
      <c r="A109" s="25"/>
      <c r="B109" s="14" t="str">
        <f>CONCATENATE("     ","Professional Services                             ")</f>
        <v xml:space="preserve">     Professional Services                             </v>
      </c>
      <c r="C109" s="14"/>
      <c r="D109" s="2">
        <f>SUM(OSRRefD22_14x_0)</f>
        <v>390</v>
      </c>
      <c r="E109" s="2"/>
      <c r="F109" s="6">
        <f t="shared" si="20"/>
        <v>4.1051979500662453E-4</v>
      </c>
      <c r="G109" s="2"/>
      <c r="H109" s="2">
        <f>SUM(OSRRefH22_14x_0)</f>
        <v>0</v>
      </c>
      <c r="I109" s="2"/>
      <c r="J109" s="6">
        <f t="shared" si="21"/>
        <v>0</v>
      </c>
      <c r="K109" s="2"/>
      <c r="L109" s="2">
        <f t="shared" si="22"/>
        <v>390</v>
      </c>
      <c r="M109" s="2"/>
      <c r="N109" s="6">
        <f t="shared" si="23"/>
        <v>0</v>
      </c>
      <c r="O109" s="14"/>
      <c r="P109" s="2">
        <f>SUM(OSRRefP22_14x_0)</f>
        <v>8576.5300000000007</v>
      </c>
      <c r="Q109" s="2"/>
      <c r="R109" s="6">
        <f t="shared" si="24"/>
        <v>1.321677061334402E-3</v>
      </c>
      <c r="S109" s="2"/>
      <c r="T109" s="2">
        <f>SUM(OSRRefT22_14x_0)</f>
        <v>1500</v>
      </c>
      <c r="U109" s="2"/>
      <c r="V109" s="6">
        <f t="shared" si="25"/>
        <v>1.6717143151682997E-4</v>
      </c>
      <c r="W109" s="2"/>
      <c r="X109" s="2">
        <f t="shared" si="26"/>
        <v>7076.5300000000007</v>
      </c>
      <c r="Y109" s="2"/>
      <c r="Z109" s="6">
        <f t="shared" si="27"/>
        <v>4.7176866666666673</v>
      </c>
    </row>
    <row r="110" spans="1:26" s="70" customFormat="1" ht="15" hidden="1" customHeight="1" outlineLevel="2" x14ac:dyDescent="0.3">
      <c r="A110" s="26"/>
      <c r="B110" s="12" t="str">
        <f>CONCATENATE("          ","6336"," - ","PROFESSIONAL SERVICES")</f>
        <v xml:space="preserve">          6336 - PROFESSIONAL SERVICES</v>
      </c>
      <c r="C110" s="12"/>
      <c r="D110" s="8">
        <v>390</v>
      </c>
      <c r="E110" s="3"/>
      <c r="F110" s="7">
        <f t="shared" si="20"/>
        <v>4.1051979500662453E-4</v>
      </c>
      <c r="G110" s="3"/>
      <c r="H110" s="8">
        <v>0</v>
      </c>
      <c r="I110" s="3"/>
      <c r="J110" s="7">
        <f t="shared" si="21"/>
        <v>0</v>
      </c>
      <c r="K110" s="3"/>
      <c r="L110" s="8">
        <f t="shared" si="22"/>
        <v>390</v>
      </c>
      <c r="M110" s="3"/>
      <c r="N110" s="7">
        <f t="shared" si="23"/>
        <v>0</v>
      </c>
      <c r="O110" s="12"/>
      <c r="P110" s="8">
        <v>8576.5300000000007</v>
      </c>
      <c r="Q110" s="3"/>
      <c r="R110" s="7">
        <f t="shared" si="24"/>
        <v>1.321677061334402E-3</v>
      </c>
      <c r="S110" s="3"/>
      <c r="T110" s="8">
        <v>1500</v>
      </c>
      <c r="U110" s="3"/>
      <c r="V110" s="7">
        <f t="shared" si="25"/>
        <v>1.6717143151682997E-4</v>
      </c>
      <c r="W110" s="3"/>
      <c r="X110" s="8">
        <f t="shared" si="26"/>
        <v>7076.5300000000007</v>
      </c>
      <c r="Y110" s="3"/>
      <c r="Z110" s="7">
        <f t="shared" si="27"/>
        <v>4.7176866666666673</v>
      </c>
    </row>
    <row r="111" spans="1:26" s="69" customFormat="1" ht="15" customHeight="1" outlineLevel="1" collapsed="1" x14ac:dyDescent="0.3">
      <c r="A111" s="25"/>
      <c r="B111" s="14" t="str">
        <f>CONCATENATE("     ","Rent                                              ")</f>
        <v xml:space="preserve">     Rent                                              </v>
      </c>
      <c r="C111" s="14"/>
      <c r="D111" s="2">
        <f>SUM(OSRRefD22_15x_0)</f>
        <v>6100</v>
      </c>
      <c r="E111" s="2"/>
      <c r="F111" s="6">
        <f t="shared" si="20"/>
        <v>6.4209506398472047E-3</v>
      </c>
      <c r="G111" s="2"/>
      <c r="H111" s="2">
        <f>SUM(OSRRefH22_15x_0)</f>
        <v>6100</v>
      </c>
      <c r="I111" s="2"/>
      <c r="J111" s="6">
        <f t="shared" si="21"/>
        <v>9.3198068813787199E-3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SUM(OSRRefP22_15x_0)</f>
        <v>48800</v>
      </c>
      <c r="Q111" s="2"/>
      <c r="R111" s="6">
        <f t="shared" si="24"/>
        <v>7.5202722538274588E-3</v>
      </c>
      <c r="S111" s="2"/>
      <c r="T111" s="2">
        <f>SUM(OSRRefT22_15x_0)</f>
        <v>48800</v>
      </c>
      <c r="U111" s="2"/>
      <c r="V111" s="6">
        <f t="shared" si="25"/>
        <v>5.4386439053475356E-3</v>
      </c>
      <c r="W111" s="2"/>
      <c r="X111" s="2">
        <f t="shared" si="26"/>
        <v>0</v>
      </c>
      <c r="Y111" s="2"/>
      <c r="Z111" s="6">
        <f t="shared" si="27"/>
        <v>0</v>
      </c>
    </row>
    <row r="112" spans="1:26" s="70" customFormat="1" ht="15" hidden="1" customHeight="1" outlineLevel="2" x14ac:dyDescent="0.3">
      <c r="A112" s="26"/>
      <c r="B112" s="12" t="str">
        <f>CONCATENATE("          ","6273"," - ","RENT")</f>
        <v xml:space="preserve">          6273 - RENT</v>
      </c>
      <c r="C112" s="12"/>
      <c r="D112" s="8">
        <v>6100</v>
      </c>
      <c r="E112" s="3"/>
      <c r="F112" s="7">
        <f t="shared" si="20"/>
        <v>6.4209506398472047E-3</v>
      </c>
      <c r="G112" s="3"/>
      <c r="H112" s="8">
        <v>6100</v>
      </c>
      <c r="I112" s="3"/>
      <c r="J112" s="7">
        <f t="shared" si="21"/>
        <v>9.3198068813787199E-3</v>
      </c>
      <c r="K112" s="3"/>
      <c r="L112" s="8">
        <f t="shared" si="22"/>
        <v>0</v>
      </c>
      <c r="M112" s="3"/>
      <c r="N112" s="7">
        <f t="shared" si="23"/>
        <v>0</v>
      </c>
      <c r="O112" s="12"/>
      <c r="P112" s="8">
        <v>48800</v>
      </c>
      <c r="Q112" s="3"/>
      <c r="R112" s="7">
        <f t="shared" si="24"/>
        <v>7.5202722538274588E-3</v>
      </c>
      <c r="S112" s="3"/>
      <c r="T112" s="8">
        <v>48800</v>
      </c>
      <c r="U112" s="3"/>
      <c r="V112" s="7">
        <f t="shared" si="25"/>
        <v>5.4386439053475356E-3</v>
      </c>
      <c r="W112" s="3"/>
      <c r="X112" s="8">
        <f t="shared" si="26"/>
        <v>0</v>
      </c>
      <c r="Y112" s="3"/>
      <c r="Z112" s="7">
        <f t="shared" si="27"/>
        <v>0</v>
      </c>
    </row>
    <row r="113" spans="1:26" s="69" customFormat="1" ht="15" customHeight="1" outlineLevel="1" collapsed="1" x14ac:dyDescent="0.3">
      <c r="A113" s="25"/>
      <c r="B113" s="14" t="str">
        <f>CONCATENATE("     ","Repair and Maintenance                            ")</f>
        <v xml:space="preserve">     Repair and Maintenance                            </v>
      </c>
      <c r="C113" s="14"/>
      <c r="D113" s="2">
        <f>SUM(OSRRefD22_16x_0)</f>
        <v>6007.6299999999992</v>
      </c>
      <c r="E113" s="2"/>
      <c r="F113" s="6">
        <f t="shared" si="20"/>
        <v>6.3237206053221732E-3</v>
      </c>
      <c r="G113" s="2"/>
      <c r="H113" s="2">
        <f>SUM(OSRRefH22_16x_0)</f>
        <v>30945</v>
      </c>
      <c r="I113" s="2"/>
      <c r="J113" s="6">
        <f t="shared" si="21"/>
        <v>4.7278921958076148E-2</v>
      </c>
      <c r="K113" s="2"/>
      <c r="L113" s="2">
        <f t="shared" si="22"/>
        <v>-24937.370000000003</v>
      </c>
      <c r="M113" s="2"/>
      <c r="N113" s="6">
        <f t="shared" si="23"/>
        <v>-0.80586104378736478</v>
      </c>
      <c r="O113" s="14"/>
      <c r="P113" s="2">
        <f>SUM(OSRRefP22_16x_0)</f>
        <v>115438</v>
      </c>
      <c r="Q113" s="2"/>
      <c r="R113" s="6">
        <f t="shared" si="24"/>
        <v>1.7789450582732257E-2</v>
      </c>
      <c r="S113" s="2"/>
      <c r="T113" s="2">
        <f>SUM(OSRRefT22_16x_0)</f>
        <v>136780</v>
      </c>
      <c r="U113" s="2"/>
      <c r="V113" s="6">
        <f t="shared" si="25"/>
        <v>1.524380560191467E-2</v>
      </c>
      <c r="W113" s="2"/>
      <c r="X113" s="2">
        <f t="shared" si="26"/>
        <v>-21342</v>
      </c>
      <c r="Y113" s="2"/>
      <c r="Z113" s="6">
        <f t="shared" si="27"/>
        <v>-0.15603158356484867</v>
      </c>
    </row>
    <row r="114" spans="1:26" s="70" customFormat="1" ht="15" hidden="1" customHeight="1" outlineLevel="2" x14ac:dyDescent="0.3">
      <c r="A114" s="26"/>
      <c r="B114" s="12" t="str">
        <f>CONCATENATE("          ","6371"," - ","COMPUTER SOFTWARE MAINTENANCE")</f>
        <v xml:space="preserve">          6371 - COMPUTER SOFTWARE MAINTENANCE</v>
      </c>
      <c r="C114" s="12"/>
      <c r="D114" s="8"/>
      <c r="E114" s="3"/>
      <c r="F114" s="7">
        <f t="shared" si="20"/>
        <v>0</v>
      </c>
      <c r="G114" s="3"/>
      <c r="H114" s="8">
        <v>1000</v>
      </c>
      <c r="I114" s="3"/>
      <c r="J114" s="7">
        <f t="shared" si="21"/>
        <v>1.5278371936686427E-3</v>
      </c>
      <c r="K114" s="3"/>
      <c r="L114" s="8">
        <f t="shared" si="22"/>
        <v>-1000</v>
      </c>
      <c r="M114" s="3"/>
      <c r="N114" s="7">
        <f t="shared" si="23"/>
        <v>-1</v>
      </c>
      <c r="O114" s="12"/>
      <c r="P114" s="8">
        <v>62511</v>
      </c>
      <c r="Q114" s="3"/>
      <c r="R114" s="7">
        <f t="shared" si="24"/>
        <v>9.6331913700616455E-3</v>
      </c>
      <c r="S114" s="3"/>
      <c r="T114" s="8">
        <v>47100</v>
      </c>
      <c r="U114" s="3"/>
      <c r="V114" s="7">
        <f t="shared" si="25"/>
        <v>5.2491829496284616E-3</v>
      </c>
      <c r="W114" s="3"/>
      <c r="X114" s="8">
        <f t="shared" si="26"/>
        <v>15411</v>
      </c>
      <c r="Y114" s="3"/>
      <c r="Z114" s="7">
        <f t="shared" si="27"/>
        <v>0.32719745222929936</v>
      </c>
    </row>
    <row r="115" spans="1:26" s="70" customFormat="1" ht="15" hidden="1" customHeight="1" outlineLevel="2" x14ac:dyDescent="0.3">
      <c r="A115" s="26"/>
      <c r="B115" s="12" t="str">
        <f>CONCATENATE("          ","6372"," - ","COMPUTER HARDWARE MAINTENANCE")</f>
        <v xml:space="preserve">          6372 - COMPUTER HARDWARE MAINTENANCE</v>
      </c>
      <c r="C115" s="12"/>
      <c r="D115" s="8"/>
      <c r="E115" s="3"/>
      <c r="F115" s="7">
        <f t="shared" si="20"/>
        <v>0</v>
      </c>
      <c r="G115" s="3"/>
      <c r="H115" s="8">
        <v>3750</v>
      </c>
      <c r="I115" s="3"/>
      <c r="J115" s="7">
        <f t="shared" si="21"/>
        <v>5.7293894762574099E-3</v>
      </c>
      <c r="K115" s="3"/>
      <c r="L115" s="8">
        <f t="shared" si="22"/>
        <v>-3750</v>
      </c>
      <c r="M115" s="3"/>
      <c r="N115" s="7">
        <f t="shared" si="23"/>
        <v>-1</v>
      </c>
      <c r="O115" s="12"/>
      <c r="P115" s="8"/>
      <c r="Q115" s="3"/>
      <c r="R115" s="7">
        <f t="shared" si="24"/>
        <v>0</v>
      </c>
      <c r="S115" s="3"/>
      <c r="T115" s="8">
        <v>26620</v>
      </c>
      <c r="U115" s="3"/>
      <c r="V115" s="7">
        <f t="shared" si="25"/>
        <v>2.9667356713186763E-3</v>
      </c>
      <c r="W115" s="3"/>
      <c r="X115" s="8">
        <f t="shared" si="26"/>
        <v>-26620</v>
      </c>
      <c r="Y115" s="3"/>
      <c r="Z115" s="7">
        <f t="shared" si="27"/>
        <v>-1</v>
      </c>
    </row>
    <row r="116" spans="1:26" s="70" customFormat="1" ht="15" hidden="1" customHeight="1" outlineLevel="2" x14ac:dyDescent="0.3">
      <c r="A116" s="26"/>
      <c r="B116" s="12" t="str">
        <f>CONCATENATE("          ","6373"," - ","MAINTENANCE CONTRACTS")</f>
        <v xml:space="preserve">          6373 - MAINTENANCE CONTRACTS</v>
      </c>
      <c r="C116" s="12"/>
      <c r="D116" s="8">
        <v>1904.31</v>
      </c>
      <c r="E116" s="3"/>
      <c r="F116" s="7">
        <f t="shared" si="20"/>
        <v>2.004505002125808E-3</v>
      </c>
      <c r="G116" s="3"/>
      <c r="H116" s="8">
        <v>26155</v>
      </c>
      <c r="I116" s="3"/>
      <c r="J116" s="7">
        <f t="shared" si="21"/>
        <v>3.996058180040335E-2</v>
      </c>
      <c r="K116" s="3"/>
      <c r="L116" s="8">
        <f t="shared" si="22"/>
        <v>-24250.69</v>
      </c>
      <c r="M116" s="3"/>
      <c r="N116" s="7">
        <f t="shared" si="23"/>
        <v>-0.92719135920474094</v>
      </c>
      <c r="O116" s="12"/>
      <c r="P116" s="8">
        <v>17899.5</v>
      </c>
      <c r="Q116" s="3"/>
      <c r="R116" s="7">
        <f t="shared" si="24"/>
        <v>2.7583834673644385E-3</v>
      </c>
      <c r="S116" s="3"/>
      <c r="T116" s="8">
        <v>62240</v>
      </c>
      <c r="U116" s="3"/>
      <c r="V116" s="7">
        <f t="shared" si="25"/>
        <v>6.9364999317383319E-3</v>
      </c>
      <c r="W116" s="3"/>
      <c r="X116" s="8">
        <f t="shared" si="26"/>
        <v>-44340.5</v>
      </c>
      <c r="Y116" s="3"/>
      <c r="Z116" s="7">
        <f t="shared" si="27"/>
        <v>-0.71241163239074545</v>
      </c>
    </row>
    <row r="117" spans="1:26" s="70" customFormat="1" ht="15" hidden="1" customHeight="1" outlineLevel="2" x14ac:dyDescent="0.3">
      <c r="A117" s="26"/>
      <c r="B117" s="12" t="str">
        <f>CONCATENATE("          ","6375"," - ","OUTSIDE REPAIRS &amp; MAINTENANCE")</f>
        <v xml:space="preserve">          6375 - OUTSIDE REPAIRS &amp; MAINTENANCE</v>
      </c>
      <c r="C117" s="12"/>
      <c r="D117" s="8">
        <v>4103.32</v>
      </c>
      <c r="E117" s="3"/>
      <c r="F117" s="7">
        <f t="shared" si="20"/>
        <v>4.3192156031963656E-3</v>
      </c>
      <c r="G117" s="3"/>
      <c r="H117" s="8">
        <v>40</v>
      </c>
      <c r="I117" s="3"/>
      <c r="J117" s="7">
        <f t="shared" si="21"/>
        <v>6.1113487746745711E-5</v>
      </c>
      <c r="K117" s="3"/>
      <c r="L117" s="8">
        <f t="shared" si="22"/>
        <v>4063.3199999999997</v>
      </c>
      <c r="M117" s="3"/>
      <c r="N117" s="7">
        <f t="shared" si="23"/>
        <v>101.583</v>
      </c>
      <c r="O117" s="12"/>
      <c r="P117" s="8">
        <v>35027.5</v>
      </c>
      <c r="Q117" s="3"/>
      <c r="R117" s="7">
        <f t="shared" si="24"/>
        <v>5.3978757453061743E-3</v>
      </c>
      <c r="S117" s="3"/>
      <c r="T117" s="8">
        <v>820</v>
      </c>
      <c r="U117" s="3"/>
      <c r="V117" s="7">
        <f t="shared" si="25"/>
        <v>9.1387049229200385E-5</v>
      </c>
      <c r="W117" s="3"/>
      <c r="X117" s="8">
        <f t="shared" si="26"/>
        <v>34207.5</v>
      </c>
      <c r="Y117" s="3"/>
      <c r="Z117" s="7">
        <f t="shared" si="27"/>
        <v>41.716463414634148</v>
      </c>
    </row>
    <row r="118" spans="1:26" s="69" customFormat="1" ht="15" customHeight="1" outlineLevel="1" collapsed="1" x14ac:dyDescent="0.3">
      <c r="A118" s="25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2">
        <f>SUM(OSRRefD22_17x_0)</f>
        <v>4782.3600000000006</v>
      </c>
      <c r="E118" s="2"/>
      <c r="F118" s="6">
        <f t="shared" si="20"/>
        <v>5.0339831970458489E-3</v>
      </c>
      <c r="G118" s="2"/>
      <c r="H118" s="2">
        <f>SUM(OSRRefH22_17x_0)</f>
        <v>5446</v>
      </c>
      <c r="I118" s="2"/>
      <c r="J118" s="6">
        <f t="shared" si="21"/>
        <v>8.3206013567194287E-3</v>
      </c>
      <c r="K118" s="2"/>
      <c r="L118" s="2">
        <f t="shared" si="22"/>
        <v>-663.63999999999942</v>
      </c>
      <c r="M118" s="2"/>
      <c r="N118" s="6">
        <f t="shared" si="23"/>
        <v>-0.1218582445831802</v>
      </c>
      <c r="O118" s="14"/>
      <c r="P118" s="2">
        <f>SUM(OSRRefP22_17x_0)</f>
        <v>50233.790000000008</v>
      </c>
      <c r="Q118" s="2"/>
      <c r="R118" s="6">
        <f t="shared" si="24"/>
        <v>7.7412249414261338E-3</v>
      </c>
      <c r="S118" s="2"/>
      <c r="T118" s="2">
        <f>SUM(OSRRefT22_17x_0)</f>
        <v>69644</v>
      </c>
      <c r="U118" s="2"/>
      <c r="V118" s="6">
        <f t="shared" si="25"/>
        <v>7.7616581177054047E-3</v>
      </c>
      <c r="W118" s="2"/>
      <c r="X118" s="2">
        <f t="shared" si="26"/>
        <v>-19410.209999999992</v>
      </c>
      <c r="Y118" s="2"/>
      <c r="Z118" s="6">
        <f t="shared" si="27"/>
        <v>-0.27870613405318467</v>
      </c>
    </row>
    <row r="119" spans="1:26" s="70" customFormat="1" ht="15" hidden="1" customHeight="1" outlineLevel="2" x14ac:dyDescent="0.3">
      <c r="A119" s="26"/>
      <c r="B119" s="12" t="str">
        <f>CONCATENATE("          ","6252"," - ","ROYALTY DUE CSTV")</f>
        <v xml:space="preserve">          6252 - ROYALTY DUE CSTV</v>
      </c>
      <c r="C119" s="12"/>
      <c r="D119" s="8"/>
      <c r="E119" s="3"/>
      <c r="F119" s="7">
        <f t="shared" si="20"/>
        <v>0</v>
      </c>
      <c r="G119" s="3"/>
      <c r="H119" s="8">
        <v>446</v>
      </c>
      <c r="I119" s="3"/>
      <c r="J119" s="7">
        <f t="shared" si="21"/>
        <v>6.8141538837621465E-4</v>
      </c>
      <c r="K119" s="3"/>
      <c r="L119" s="8">
        <f t="shared" si="22"/>
        <v>-446</v>
      </c>
      <c r="M119" s="3"/>
      <c r="N119" s="7">
        <f t="shared" si="23"/>
        <v>-1</v>
      </c>
      <c r="O119" s="12"/>
      <c r="P119" s="8"/>
      <c r="Q119" s="3"/>
      <c r="R119" s="7">
        <f t="shared" si="24"/>
        <v>0</v>
      </c>
      <c r="S119" s="3"/>
      <c r="T119" s="8">
        <v>11497</v>
      </c>
      <c r="U119" s="3"/>
      <c r="V119" s="7">
        <f t="shared" si="25"/>
        <v>1.2813132987659962E-3</v>
      </c>
      <c r="W119" s="3"/>
      <c r="X119" s="8">
        <f t="shared" si="26"/>
        <v>-11497</v>
      </c>
      <c r="Y119" s="3"/>
      <c r="Z119" s="7">
        <f t="shared" si="27"/>
        <v>-1</v>
      </c>
    </row>
    <row r="120" spans="1:26" s="70" customFormat="1" ht="15" hidden="1" customHeight="1" outlineLevel="2" x14ac:dyDescent="0.3">
      <c r="A120" s="26"/>
      <c r="B120" s="12" t="str">
        <f>CONCATENATE("          ","6253"," - ","ROYALTY DUE ATHLETICS-LRG")</f>
        <v xml:space="preserve">          6253 - ROYALTY DUE ATHLETICS-LRG</v>
      </c>
      <c r="C120" s="12"/>
      <c r="D120" s="8"/>
      <c r="E120" s="3"/>
      <c r="F120" s="7">
        <f t="shared" si="20"/>
        <v>0</v>
      </c>
      <c r="G120" s="3"/>
      <c r="H120" s="8">
        <v>0</v>
      </c>
      <c r="I120" s="3"/>
      <c r="J120" s="7">
        <f t="shared" si="21"/>
        <v>0</v>
      </c>
      <c r="K120" s="3"/>
      <c r="L120" s="8">
        <f t="shared" si="22"/>
        <v>0</v>
      </c>
      <c r="M120" s="3"/>
      <c r="N120" s="7">
        <f t="shared" si="23"/>
        <v>0</v>
      </c>
      <c r="O120" s="12"/>
      <c r="P120" s="8">
        <v>39221.160000000003</v>
      </c>
      <c r="Q120" s="3"/>
      <c r="R120" s="7">
        <f t="shared" si="24"/>
        <v>6.0441352727649052E-3</v>
      </c>
      <c r="S120" s="3"/>
      <c r="T120" s="8">
        <v>23947</v>
      </c>
      <c r="U120" s="3"/>
      <c r="V120" s="7">
        <f t="shared" si="25"/>
        <v>2.6688361803556852E-3</v>
      </c>
      <c r="W120" s="3"/>
      <c r="X120" s="8">
        <f t="shared" si="26"/>
        <v>15274.160000000003</v>
      </c>
      <c r="Y120" s="3"/>
      <c r="Z120" s="7">
        <f t="shared" si="27"/>
        <v>0.63783187873220037</v>
      </c>
    </row>
    <row r="121" spans="1:26" s="70" customFormat="1" ht="15" hidden="1" customHeight="1" outlineLevel="2" x14ac:dyDescent="0.3">
      <c r="A121" s="26"/>
      <c r="B121" s="12" t="str">
        <f>CONCATENATE("          ","6254"," - ","ROYALTY &amp; COMMISSIONS")</f>
        <v xml:space="preserve">          6254 - ROYALTY &amp; COMMISSIONS</v>
      </c>
      <c r="C121" s="12"/>
      <c r="D121" s="8">
        <v>3147.46</v>
      </c>
      <c r="E121" s="3"/>
      <c r="F121" s="7">
        <f t="shared" si="20"/>
        <v>3.3130631640808988E-3</v>
      </c>
      <c r="G121" s="3"/>
      <c r="H121" s="8">
        <v>1000</v>
      </c>
      <c r="I121" s="3"/>
      <c r="J121" s="7">
        <f t="shared" si="21"/>
        <v>1.5278371936686427E-3</v>
      </c>
      <c r="K121" s="3"/>
      <c r="L121" s="8">
        <f t="shared" si="22"/>
        <v>2147.46</v>
      </c>
      <c r="M121" s="3"/>
      <c r="N121" s="7">
        <f t="shared" si="23"/>
        <v>2.1474600000000001</v>
      </c>
      <c r="O121" s="12"/>
      <c r="P121" s="8">
        <v>3509.15</v>
      </c>
      <c r="Q121" s="3"/>
      <c r="R121" s="7">
        <f t="shared" si="24"/>
        <v>5.4077383974423414E-4</v>
      </c>
      <c r="S121" s="3"/>
      <c r="T121" s="8">
        <v>1500</v>
      </c>
      <c r="U121" s="3"/>
      <c r="V121" s="7">
        <f t="shared" si="25"/>
        <v>1.6717143151682997E-4</v>
      </c>
      <c r="W121" s="3"/>
      <c r="X121" s="8">
        <f t="shared" si="26"/>
        <v>2009.15</v>
      </c>
      <c r="Y121" s="3"/>
      <c r="Z121" s="7">
        <f t="shared" si="27"/>
        <v>1.3394333333333335</v>
      </c>
    </row>
    <row r="122" spans="1:26" s="70" customFormat="1" ht="15" hidden="1" customHeight="1" outlineLevel="2" x14ac:dyDescent="0.3">
      <c r="A122" s="26"/>
      <c r="B122" s="12" t="str">
        <f>CONCATENATE("          ","6259"," - ","ROYALTY &amp; COMMISSIONS")</f>
        <v xml:space="preserve">          6259 - ROYALTY &amp; COMMISSIONS</v>
      </c>
      <c r="C122" s="12"/>
      <c r="D122" s="8">
        <v>1634.9</v>
      </c>
      <c r="E122" s="3"/>
      <c r="F122" s="7">
        <f t="shared" ref="F122:F148" si="28">IF(D$12=0,0,D122/D$12)</f>
        <v>1.7209200329649499E-3</v>
      </c>
      <c r="G122" s="3"/>
      <c r="H122" s="8">
        <v>4000</v>
      </c>
      <c r="I122" s="3"/>
      <c r="J122" s="7">
        <f t="shared" ref="J122:J148" si="29">IF(H$12=0,0,H122/H$12)</f>
        <v>6.111348774674571E-3</v>
      </c>
      <c r="K122" s="3"/>
      <c r="L122" s="8">
        <f t="shared" ref="L122:L148" si="30">+D122-H122</f>
        <v>-2365.1</v>
      </c>
      <c r="M122" s="3"/>
      <c r="N122" s="7">
        <f t="shared" ref="N122:N148" si="31">IF(H122=0,0,L122/H122)</f>
        <v>-0.591275</v>
      </c>
      <c r="O122" s="12"/>
      <c r="P122" s="8">
        <v>7503.48</v>
      </c>
      <c r="Q122" s="3"/>
      <c r="R122" s="7">
        <f t="shared" ref="R122:R148" si="32">IF(P$12=0,0,P122/P$12)</f>
        <v>1.156315828916993E-3</v>
      </c>
      <c r="S122" s="3"/>
      <c r="T122" s="8">
        <v>32700</v>
      </c>
      <c r="U122" s="3"/>
      <c r="V122" s="7">
        <f t="shared" ref="V122:V148" si="33">IF(T$12=0,0,T122/T$12)</f>
        <v>3.6443372070668937E-3</v>
      </c>
      <c r="W122" s="3"/>
      <c r="X122" s="8">
        <f t="shared" ref="X122:X148" si="34">+P122-T122</f>
        <v>-25196.52</v>
      </c>
      <c r="Y122" s="3"/>
      <c r="Z122" s="7">
        <f t="shared" ref="Z122:Z148" si="35">IF(T122=0,0,X122/T122)</f>
        <v>-0.77053577981651378</v>
      </c>
    </row>
    <row r="123" spans="1:26" s="69" customFormat="1" ht="15" customHeight="1" outlineLevel="1" collapsed="1" x14ac:dyDescent="0.3">
      <c r="A123" s="25"/>
      <c r="B123" s="14" t="str">
        <f>CONCATENATE("     ","Services                                          ")</f>
        <v xml:space="preserve">     Services                                          </v>
      </c>
      <c r="C123" s="14"/>
      <c r="D123" s="2">
        <f>SUM(OSRRefD22_18x_0)</f>
        <v>7009.93</v>
      </c>
      <c r="E123" s="2"/>
      <c r="F123" s="6">
        <f t="shared" si="28"/>
        <v>7.378756478489199E-3</v>
      </c>
      <c r="G123" s="2"/>
      <c r="H123" s="2">
        <f>SUM(OSRRefH22_18x_0)</f>
        <v>4360</v>
      </c>
      <c r="I123" s="2"/>
      <c r="J123" s="6">
        <f t="shared" si="29"/>
        <v>6.6613701643952819E-3</v>
      </c>
      <c r="K123" s="2"/>
      <c r="L123" s="2">
        <f t="shared" si="30"/>
        <v>2649.9300000000003</v>
      </c>
      <c r="M123" s="2"/>
      <c r="N123" s="6">
        <f t="shared" si="31"/>
        <v>0.60778211009174321</v>
      </c>
      <c r="O123" s="14"/>
      <c r="P123" s="2">
        <f>SUM(OSRRefP22_18x_0)</f>
        <v>47254.229999999996</v>
      </c>
      <c r="Q123" s="2"/>
      <c r="R123" s="6">
        <f t="shared" si="32"/>
        <v>7.2820630070692845E-3</v>
      </c>
      <c r="S123" s="2"/>
      <c r="T123" s="2">
        <f>SUM(OSRRefT22_18x_0)</f>
        <v>35000</v>
      </c>
      <c r="U123" s="2"/>
      <c r="V123" s="6">
        <f t="shared" si="33"/>
        <v>3.9006667353926995E-3</v>
      </c>
      <c r="W123" s="2"/>
      <c r="X123" s="2">
        <f t="shared" si="34"/>
        <v>12254.229999999996</v>
      </c>
      <c r="Y123" s="2"/>
      <c r="Z123" s="6">
        <f t="shared" si="35"/>
        <v>0.35012085714285701</v>
      </c>
    </row>
    <row r="124" spans="1:26" s="70" customFormat="1" ht="15" hidden="1" customHeight="1" outlineLevel="2" x14ac:dyDescent="0.3">
      <c r="A124" s="26"/>
      <c r="B124" s="12" t="str">
        <f>CONCATENATE("          ","6282"," - ","JANITORIAL/EXTERMINATOR EXPENS")</f>
        <v xml:space="preserve">          6282 - JANITORIAL/EXTERMINATOR EXPENS</v>
      </c>
      <c r="C124" s="12"/>
      <c r="D124" s="8">
        <v>350.3</v>
      </c>
      <c r="E124" s="3"/>
      <c r="F124" s="7">
        <f t="shared" si="28"/>
        <v>3.6873098510466814E-4</v>
      </c>
      <c r="G124" s="3"/>
      <c r="H124" s="8">
        <v>4300</v>
      </c>
      <c r="I124" s="3"/>
      <c r="J124" s="7">
        <f t="shared" si="29"/>
        <v>6.5696999327751636E-3</v>
      </c>
      <c r="K124" s="3"/>
      <c r="L124" s="8">
        <f t="shared" si="30"/>
        <v>-3949.7</v>
      </c>
      <c r="M124" s="3"/>
      <c r="N124" s="7">
        <f t="shared" si="31"/>
        <v>-0.91853488372093017</v>
      </c>
      <c r="O124" s="12"/>
      <c r="P124" s="8">
        <v>2543.98</v>
      </c>
      <c r="Q124" s="3"/>
      <c r="R124" s="7">
        <f t="shared" si="32"/>
        <v>3.92037340333852E-4</v>
      </c>
      <c r="S124" s="3"/>
      <c r="T124" s="8">
        <v>34400</v>
      </c>
      <c r="U124" s="3"/>
      <c r="V124" s="7">
        <f t="shared" si="33"/>
        <v>3.8337981627859677E-3</v>
      </c>
      <c r="W124" s="3"/>
      <c r="X124" s="8">
        <f t="shared" si="34"/>
        <v>-31856.02</v>
      </c>
      <c r="Y124" s="3"/>
      <c r="Z124" s="7">
        <f t="shared" si="35"/>
        <v>-0.92604709302325583</v>
      </c>
    </row>
    <row r="125" spans="1:26" s="70" customFormat="1" ht="15" hidden="1" customHeight="1" outlineLevel="2" x14ac:dyDescent="0.3">
      <c r="A125" s="26"/>
      <c r="B125" s="12" t="str">
        <f>CONCATENATE("          ","6284"," - ","TRASH REMOVAL EXPENSE")</f>
        <v xml:space="preserve">          6284 - TRASH REMOVAL EXPENSE</v>
      </c>
      <c r="C125" s="12"/>
      <c r="D125" s="8">
        <v>149.69999999999999</v>
      </c>
      <c r="E125" s="3"/>
      <c r="F125" s="7">
        <f t="shared" si="28"/>
        <v>1.5757644439100434E-4</v>
      </c>
      <c r="G125" s="3"/>
      <c r="H125" s="8">
        <v>60</v>
      </c>
      <c r="I125" s="3"/>
      <c r="J125" s="7">
        <f t="shared" si="29"/>
        <v>9.167023162011856E-5</v>
      </c>
      <c r="K125" s="3"/>
      <c r="L125" s="8">
        <f t="shared" si="30"/>
        <v>89.699999999999989</v>
      </c>
      <c r="M125" s="3"/>
      <c r="N125" s="7">
        <f t="shared" si="31"/>
        <v>1.4949999999999999</v>
      </c>
      <c r="O125" s="12"/>
      <c r="P125" s="8">
        <v>1190.47</v>
      </c>
      <c r="Q125" s="3"/>
      <c r="R125" s="7">
        <f t="shared" si="32"/>
        <v>1.8345611700848309E-4</v>
      </c>
      <c r="S125" s="3"/>
      <c r="T125" s="8">
        <v>600</v>
      </c>
      <c r="U125" s="3"/>
      <c r="V125" s="7">
        <f t="shared" si="33"/>
        <v>6.6868572606731993E-5</v>
      </c>
      <c r="W125" s="3"/>
      <c r="X125" s="8">
        <f t="shared" si="34"/>
        <v>590.47</v>
      </c>
      <c r="Y125" s="3"/>
      <c r="Z125" s="7">
        <f t="shared" si="35"/>
        <v>0.98411666666666675</v>
      </c>
    </row>
    <row r="126" spans="1:26" s="70" customFormat="1" ht="15" hidden="1" customHeight="1" outlineLevel="2" x14ac:dyDescent="0.3">
      <c r="A126" s="26"/>
      <c r="B126" s="12" t="str">
        <f>CONCATENATE("          ","6285"," - ","JANITORIAL SERVICES")</f>
        <v xml:space="preserve">          6285 - JANITORIAL SERVICES</v>
      </c>
      <c r="C126" s="12"/>
      <c r="D126" s="8">
        <v>6509.93</v>
      </c>
      <c r="E126" s="3"/>
      <c r="F126" s="7">
        <f t="shared" si="28"/>
        <v>6.8524490489935272E-3</v>
      </c>
      <c r="G126" s="3"/>
      <c r="H126" s="8"/>
      <c r="I126" s="3"/>
      <c r="J126" s="7">
        <f t="shared" si="29"/>
        <v>0</v>
      </c>
      <c r="K126" s="3"/>
      <c r="L126" s="8">
        <f t="shared" si="30"/>
        <v>6509.93</v>
      </c>
      <c r="M126" s="3"/>
      <c r="N126" s="7">
        <f t="shared" si="31"/>
        <v>0</v>
      </c>
      <c r="O126" s="12"/>
      <c r="P126" s="8">
        <v>43519.78</v>
      </c>
      <c r="Q126" s="3"/>
      <c r="R126" s="7">
        <f t="shared" si="32"/>
        <v>6.7065695497269496E-3</v>
      </c>
      <c r="S126" s="3"/>
      <c r="T126" s="8"/>
      <c r="U126" s="3"/>
      <c r="V126" s="7">
        <f t="shared" si="33"/>
        <v>0</v>
      </c>
      <c r="W126" s="3"/>
      <c r="X126" s="8">
        <f t="shared" si="34"/>
        <v>43519.78</v>
      </c>
      <c r="Y126" s="3"/>
      <c r="Z126" s="7">
        <f t="shared" si="35"/>
        <v>0</v>
      </c>
    </row>
    <row r="127" spans="1:26" s="69" customFormat="1" ht="15" customHeight="1" outlineLevel="1" collapsed="1" x14ac:dyDescent="0.3">
      <c r="A127" s="25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2">
        <f>SUM(OSRRefD22_19x_0)</f>
        <v>176.99</v>
      </c>
      <c r="E127" s="2"/>
      <c r="F127" s="6">
        <f t="shared" si="28"/>
        <v>1.8630230389287815E-4</v>
      </c>
      <c r="G127" s="2"/>
      <c r="H127" s="2">
        <f>SUM(OSRRefH22_19x_0)</f>
        <v>1461</v>
      </c>
      <c r="I127" s="2"/>
      <c r="J127" s="6">
        <f t="shared" si="29"/>
        <v>2.2321701399498871E-3</v>
      </c>
      <c r="K127" s="2"/>
      <c r="L127" s="2">
        <f t="shared" si="30"/>
        <v>-1284.01</v>
      </c>
      <c r="M127" s="2"/>
      <c r="N127" s="6">
        <f t="shared" si="31"/>
        <v>-0.87885694729637232</v>
      </c>
      <c r="O127" s="14"/>
      <c r="P127" s="2">
        <f>SUM(OSRRefP22_19x_0)</f>
        <v>1870.72</v>
      </c>
      <c r="Q127" s="2"/>
      <c r="R127" s="6">
        <f t="shared" si="32"/>
        <v>2.8828532194016604E-4</v>
      </c>
      <c r="S127" s="2"/>
      <c r="T127" s="2">
        <f>SUM(OSRRefT22_19x_0)</f>
        <v>10463</v>
      </c>
      <c r="U127" s="2"/>
      <c r="V127" s="6">
        <f t="shared" si="33"/>
        <v>1.1660764586403948E-3</v>
      </c>
      <c r="W127" s="2"/>
      <c r="X127" s="2">
        <f t="shared" si="34"/>
        <v>-8592.2800000000007</v>
      </c>
      <c r="Y127" s="2"/>
      <c r="Z127" s="6">
        <f t="shared" si="35"/>
        <v>-0.82120615502246019</v>
      </c>
    </row>
    <row r="128" spans="1:26" s="70" customFormat="1" ht="15" hidden="1" customHeight="1" outlineLevel="2" x14ac:dyDescent="0.3">
      <c r="A128" s="26"/>
      <c r="B128" s="12" t="str">
        <f>CONCATENATE("          ","6258"," - ","MEMBERSHIP DUES")</f>
        <v xml:space="preserve">          6258 - MEMBERSHIP DUES</v>
      </c>
      <c r="C128" s="12"/>
      <c r="D128" s="8">
        <v>176.99</v>
      </c>
      <c r="E128" s="3"/>
      <c r="F128" s="7">
        <f t="shared" si="28"/>
        <v>1.8630230389287815E-4</v>
      </c>
      <c r="G128" s="3"/>
      <c r="H128" s="8">
        <v>1300</v>
      </c>
      <c r="I128" s="3"/>
      <c r="J128" s="7">
        <f t="shared" si="29"/>
        <v>1.9861883517692355E-3</v>
      </c>
      <c r="K128" s="3"/>
      <c r="L128" s="8">
        <f t="shared" si="30"/>
        <v>-1123.01</v>
      </c>
      <c r="M128" s="3"/>
      <c r="N128" s="7">
        <f t="shared" si="31"/>
        <v>-0.86385384615384619</v>
      </c>
      <c r="O128" s="12"/>
      <c r="P128" s="8">
        <v>1870.72</v>
      </c>
      <c r="Q128" s="3"/>
      <c r="R128" s="7">
        <f t="shared" si="32"/>
        <v>2.8828532194016604E-4</v>
      </c>
      <c r="S128" s="3"/>
      <c r="T128" s="8">
        <v>7795</v>
      </c>
      <c r="U128" s="3"/>
      <c r="V128" s="7">
        <f t="shared" si="33"/>
        <v>8.6873420578245978E-4</v>
      </c>
      <c r="W128" s="3"/>
      <c r="X128" s="8">
        <f t="shared" si="34"/>
        <v>-5924.28</v>
      </c>
      <c r="Y128" s="3"/>
      <c r="Z128" s="7">
        <f t="shared" si="35"/>
        <v>-0.76001026298909558</v>
      </c>
    </row>
    <row r="129" spans="1:26" s="70" customFormat="1" ht="15" hidden="1" customHeight="1" outlineLevel="2" x14ac:dyDescent="0.3">
      <c r="A129" s="26"/>
      <c r="B129" s="12" t="str">
        <f>CONCATENATE("          ","6275"," - ","SUBSCRIPTIONS")</f>
        <v xml:space="preserve">          6275 - SUBSCRIPTIONS</v>
      </c>
      <c r="C129" s="12"/>
      <c r="D129" s="8"/>
      <c r="E129" s="3"/>
      <c r="F129" s="7">
        <f t="shared" si="28"/>
        <v>0</v>
      </c>
      <c r="G129" s="3"/>
      <c r="H129" s="8">
        <v>161</v>
      </c>
      <c r="I129" s="3"/>
      <c r="J129" s="7">
        <f t="shared" si="29"/>
        <v>2.4598178818065148E-4</v>
      </c>
      <c r="K129" s="3"/>
      <c r="L129" s="8">
        <f t="shared" si="30"/>
        <v>-161</v>
      </c>
      <c r="M129" s="3"/>
      <c r="N129" s="7">
        <f t="shared" si="31"/>
        <v>-1</v>
      </c>
      <c r="O129" s="12"/>
      <c r="P129" s="8"/>
      <c r="Q129" s="3"/>
      <c r="R129" s="7">
        <f t="shared" si="32"/>
        <v>0</v>
      </c>
      <c r="S129" s="3"/>
      <c r="T129" s="8">
        <v>2668</v>
      </c>
      <c r="U129" s="3"/>
      <c r="V129" s="7">
        <f t="shared" si="33"/>
        <v>2.9734225285793492E-4</v>
      </c>
      <c r="W129" s="3"/>
      <c r="X129" s="8">
        <f t="shared" si="34"/>
        <v>-2668</v>
      </c>
      <c r="Y129" s="3"/>
      <c r="Z129" s="7">
        <f t="shared" si="35"/>
        <v>-1</v>
      </c>
    </row>
    <row r="130" spans="1:26" s="69" customFormat="1" ht="15" customHeight="1" outlineLevel="1" collapsed="1" x14ac:dyDescent="0.3">
      <c r="A130" s="25"/>
      <c r="B130" s="14" t="str">
        <f>CONCATENATE("     ","Supplies                                          ")</f>
        <v xml:space="preserve">     Supplies                                          </v>
      </c>
      <c r="C130" s="14"/>
      <c r="D130" s="2">
        <f>SUM(OSRRefD22_20x_0)</f>
        <v>20061.739999999998</v>
      </c>
      <c r="E130" s="2"/>
      <c r="F130" s="6">
        <f t="shared" si="28"/>
        <v>2.1117285621221022E-2</v>
      </c>
      <c r="G130" s="2"/>
      <c r="H130" s="2">
        <f>SUM(OSRRefH22_20x_0)</f>
        <v>13640</v>
      </c>
      <c r="I130" s="2"/>
      <c r="J130" s="6">
        <f t="shared" si="29"/>
        <v>2.0839699321640287E-2</v>
      </c>
      <c r="K130" s="2"/>
      <c r="L130" s="2">
        <f t="shared" si="30"/>
        <v>6421.739999999998</v>
      </c>
      <c r="M130" s="2"/>
      <c r="N130" s="6">
        <f t="shared" si="31"/>
        <v>0.47080205278592363</v>
      </c>
      <c r="O130" s="14"/>
      <c r="P130" s="2">
        <f>SUM(OSRRefP22_20x_0)</f>
        <v>80033.59</v>
      </c>
      <c r="Q130" s="2"/>
      <c r="R130" s="6">
        <f t="shared" si="32"/>
        <v>1.233349152154104E-2</v>
      </c>
      <c r="S130" s="2"/>
      <c r="T130" s="2">
        <f>SUM(OSRRefT22_20x_0)</f>
        <v>94200</v>
      </c>
      <c r="U130" s="2"/>
      <c r="V130" s="6">
        <f t="shared" si="33"/>
        <v>1.0498365899256923E-2</v>
      </c>
      <c r="W130" s="2"/>
      <c r="X130" s="2">
        <f t="shared" si="34"/>
        <v>-14166.410000000003</v>
      </c>
      <c r="Y130" s="2"/>
      <c r="Z130" s="6">
        <f t="shared" si="35"/>
        <v>-0.15038651804670916</v>
      </c>
    </row>
    <row r="131" spans="1:26" s="70" customFormat="1" ht="15" hidden="1" customHeight="1" outlineLevel="2" x14ac:dyDescent="0.3">
      <c r="A131" s="26"/>
      <c r="B131" s="12" t="str">
        <f>CONCATENATE("          ","6234"," - ","EXPENDABLE SUPPLIES &amp; EQUIPMEN")</f>
        <v xml:space="preserve">          6234 - EXPENDABLE SUPPLIES &amp; EQUIPMEN</v>
      </c>
      <c r="C131" s="12"/>
      <c r="D131" s="8"/>
      <c r="E131" s="3"/>
      <c r="F131" s="7">
        <f t="shared" si="28"/>
        <v>0</v>
      </c>
      <c r="G131" s="3"/>
      <c r="H131" s="8">
        <v>300</v>
      </c>
      <c r="I131" s="3"/>
      <c r="J131" s="7">
        <f t="shared" si="29"/>
        <v>4.583511581005928E-4</v>
      </c>
      <c r="K131" s="3"/>
      <c r="L131" s="8">
        <f t="shared" si="30"/>
        <v>-300</v>
      </c>
      <c r="M131" s="3"/>
      <c r="N131" s="7">
        <f t="shared" si="31"/>
        <v>-1</v>
      </c>
      <c r="O131" s="12"/>
      <c r="P131" s="8">
        <v>5289.57</v>
      </c>
      <c r="Q131" s="3"/>
      <c r="R131" s="7">
        <f t="shared" si="32"/>
        <v>8.1514357593602679E-4</v>
      </c>
      <c r="S131" s="3"/>
      <c r="T131" s="8">
        <v>1800</v>
      </c>
      <c r="U131" s="3"/>
      <c r="V131" s="7">
        <f t="shared" si="33"/>
        <v>2.0060571782019599E-4</v>
      </c>
      <c r="W131" s="3"/>
      <c r="X131" s="8">
        <f t="shared" si="34"/>
        <v>3489.5699999999997</v>
      </c>
      <c r="Y131" s="3"/>
      <c r="Z131" s="7">
        <f t="shared" si="35"/>
        <v>1.9386499999999998</v>
      </c>
    </row>
    <row r="132" spans="1:26" s="70" customFormat="1" ht="15" hidden="1" customHeight="1" outlineLevel="2" x14ac:dyDescent="0.3">
      <c r="A132" s="26"/>
      <c r="B132" s="12" t="str">
        <f>CONCATENATE("          ","6235"," - ","COVID-19 EXPENSES")</f>
        <v xml:space="preserve">          6235 - COVID-19 EXPENSES</v>
      </c>
      <c r="C132" s="12"/>
      <c r="D132" s="8"/>
      <c r="E132" s="3"/>
      <c r="F132" s="7">
        <f t="shared" si="28"/>
        <v>0</v>
      </c>
      <c r="G132" s="3"/>
      <c r="H132" s="8">
        <v>125</v>
      </c>
      <c r="I132" s="3"/>
      <c r="J132" s="7">
        <f t="shared" si="29"/>
        <v>1.9097964920858034E-4</v>
      </c>
      <c r="K132" s="3"/>
      <c r="L132" s="8">
        <f t="shared" si="30"/>
        <v>-125</v>
      </c>
      <c r="M132" s="3"/>
      <c r="N132" s="7">
        <f t="shared" si="31"/>
        <v>-1</v>
      </c>
      <c r="O132" s="12"/>
      <c r="P132" s="8">
        <v>3430.32</v>
      </c>
      <c r="Q132" s="3"/>
      <c r="R132" s="7">
        <f t="shared" si="32"/>
        <v>5.2862582618338951E-4</v>
      </c>
      <c r="S132" s="3"/>
      <c r="T132" s="8">
        <v>1000</v>
      </c>
      <c r="U132" s="3"/>
      <c r="V132" s="7">
        <f t="shared" si="33"/>
        <v>1.1144762101121999E-4</v>
      </c>
      <c r="W132" s="3"/>
      <c r="X132" s="8">
        <f t="shared" si="34"/>
        <v>2430.3200000000002</v>
      </c>
      <c r="Y132" s="3"/>
      <c r="Z132" s="7">
        <f t="shared" si="35"/>
        <v>2.43032</v>
      </c>
    </row>
    <row r="133" spans="1:26" s="70" customFormat="1" ht="15" hidden="1" customHeight="1" outlineLevel="2" x14ac:dyDescent="0.3">
      <c r="A133" s="26"/>
      <c r="B133" s="12" t="str">
        <f>CONCATENATE("          ","6237"," - ","JANITORIAL SUPPLIES")</f>
        <v xml:space="preserve">          6237 - JANITORIAL SUPPLIES</v>
      </c>
      <c r="C133" s="12"/>
      <c r="D133" s="8"/>
      <c r="E133" s="3"/>
      <c r="F133" s="7">
        <f t="shared" si="28"/>
        <v>0</v>
      </c>
      <c r="G133" s="3"/>
      <c r="H133" s="8">
        <v>10</v>
      </c>
      <c r="I133" s="3"/>
      <c r="J133" s="7">
        <f t="shared" si="29"/>
        <v>1.5278371936686428E-5</v>
      </c>
      <c r="K133" s="3"/>
      <c r="L133" s="8">
        <f t="shared" si="30"/>
        <v>-10</v>
      </c>
      <c r="M133" s="3"/>
      <c r="N133" s="7">
        <f t="shared" si="31"/>
        <v>-1</v>
      </c>
      <c r="O133" s="12"/>
      <c r="P133" s="8">
        <v>4531.17</v>
      </c>
      <c r="Q133" s="3"/>
      <c r="R133" s="7">
        <f t="shared" si="32"/>
        <v>6.9827114812244604E-4</v>
      </c>
      <c r="S133" s="3"/>
      <c r="T133" s="8">
        <v>160</v>
      </c>
      <c r="U133" s="3"/>
      <c r="V133" s="7">
        <f t="shared" si="33"/>
        <v>1.7831619361795198E-5</v>
      </c>
      <c r="W133" s="3"/>
      <c r="X133" s="8">
        <f t="shared" si="34"/>
        <v>4371.17</v>
      </c>
      <c r="Y133" s="3"/>
      <c r="Z133" s="7">
        <f t="shared" si="35"/>
        <v>27.319812500000001</v>
      </c>
    </row>
    <row r="134" spans="1:26" s="70" customFormat="1" ht="15" hidden="1" customHeight="1" outlineLevel="2" x14ac:dyDescent="0.3">
      <c r="A134" s="26"/>
      <c r="B134" s="12" t="str">
        <f>CONCATENATE("          ","6241"," - ","OFFICE EXPENSE")</f>
        <v xml:space="preserve">          6241 - OFFICE EXPENSE</v>
      </c>
      <c r="C134" s="12"/>
      <c r="D134" s="8">
        <v>4058.37</v>
      </c>
      <c r="E134" s="3"/>
      <c r="F134" s="7">
        <f t="shared" si="28"/>
        <v>4.2719005652847048E-3</v>
      </c>
      <c r="G134" s="3"/>
      <c r="H134" s="8">
        <v>830</v>
      </c>
      <c r="I134" s="3"/>
      <c r="J134" s="7">
        <f t="shared" si="29"/>
        <v>1.2681048707449735E-3</v>
      </c>
      <c r="K134" s="3"/>
      <c r="L134" s="8">
        <f t="shared" si="30"/>
        <v>3228.37</v>
      </c>
      <c r="M134" s="3"/>
      <c r="N134" s="7">
        <f t="shared" si="31"/>
        <v>3.8896024096385542</v>
      </c>
      <c r="O134" s="12"/>
      <c r="P134" s="8">
        <v>13342.6</v>
      </c>
      <c r="Q134" s="3"/>
      <c r="R134" s="7">
        <f t="shared" si="32"/>
        <v>2.0561472248753739E-3</v>
      </c>
      <c r="S134" s="3"/>
      <c r="T134" s="8">
        <v>5890</v>
      </c>
      <c r="U134" s="3"/>
      <c r="V134" s="7">
        <f t="shared" si="33"/>
        <v>6.5642648775608573E-4</v>
      </c>
      <c r="W134" s="3"/>
      <c r="X134" s="8">
        <f t="shared" si="34"/>
        <v>7452.6</v>
      </c>
      <c r="Y134" s="3"/>
      <c r="Z134" s="7">
        <f t="shared" si="35"/>
        <v>1.2652971137521223</v>
      </c>
    </row>
    <row r="135" spans="1:26" s="70" customFormat="1" ht="15" hidden="1" customHeight="1" outlineLevel="2" x14ac:dyDescent="0.3">
      <c r="A135" s="26"/>
      <c r="B135" s="12" t="str">
        <f>CONCATENATE("          ","6243"," - ","PAPER SUPPLIES")</f>
        <v xml:space="preserve">          6243 - PAPER SUPPLIES</v>
      </c>
      <c r="C135" s="12"/>
      <c r="D135" s="8">
        <v>1072.69</v>
      </c>
      <c r="E135" s="3"/>
      <c r="F135" s="7">
        <f t="shared" si="28"/>
        <v>1.129129433091426E-3</v>
      </c>
      <c r="G135" s="3"/>
      <c r="H135" s="8">
        <v>3800</v>
      </c>
      <c r="I135" s="3"/>
      <c r="J135" s="7">
        <f t="shared" si="29"/>
        <v>5.8057813359408423E-3</v>
      </c>
      <c r="K135" s="3"/>
      <c r="L135" s="8">
        <f t="shared" si="30"/>
        <v>-2727.31</v>
      </c>
      <c r="M135" s="3"/>
      <c r="N135" s="7">
        <f t="shared" si="31"/>
        <v>-0.71771315789473678</v>
      </c>
      <c r="O135" s="12"/>
      <c r="P135" s="8">
        <v>5621.93</v>
      </c>
      <c r="Q135" s="3"/>
      <c r="R135" s="7">
        <f t="shared" si="32"/>
        <v>8.6636156131066002E-4</v>
      </c>
      <c r="S135" s="3"/>
      <c r="T135" s="8">
        <v>30200</v>
      </c>
      <c r="U135" s="3"/>
      <c r="V135" s="7">
        <f t="shared" si="33"/>
        <v>3.3657181545388437E-3</v>
      </c>
      <c r="W135" s="3"/>
      <c r="X135" s="8">
        <f t="shared" si="34"/>
        <v>-24578.07</v>
      </c>
      <c r="Y135" s="3"/>
      <c r="Z135" s="7">
        <f t="shared" si="35"/>
        <v>-0.81384337748344371</v>
      </c>
    </row>
    <row r="136" spans="1:26" s="70" customFormat="1" ht="15" hidden="1" customHeight="1" outlineLevel="2" x14ac:dyDescent="0.3">
      <c r="A136" s="26"/>
      <c r="B136" s="12" t="str">
        <f>CONCATENATE("          ","6245"," - ","PRINTING")</f>
        <v xml:space="preserve">          6245 - PRINTING</v>
      </c>
      <c r="C136" s="12"/>
      <c r="D136" s="8">
        <v>502.78</v>
      </c>
      <c r="E136" s="3"/>
      <c r="F136" s="7">
        <f t="shared" si="28"/>
        <v>5.2923369880366841E-4</v>
      </c>
      <c r="G136" s="3"/>
      <c r="H136" s="8">
        <v>1600</v>
      </c>
      <c r="I136" s="3"/>
      <c r="J136" s="7">
        <f t="shared" si="29"/>
        <v>2.4445395098698281E-3</v>
      </c>
      <c r="K136" s="3"/>
      <c r="L136" s="8">
        <f t="shared" si="30"/>
        <v>-1097.22</v>
      </c>
      <c r="M136" s="3"/>
      <c r="N136" s="7">
        <f t="shared" si="31"/>
        <v>-0.68576250000000005</v>
      </c>
      <c r="O136" s="12"/>
      <c r="P136" s="8">
        <v>3304.52</v>
      </c>
      <c r="Q136" s="3"/>
      <c r="R136" s="7">
        <f t="shared" si="32"/>
        <v>5.0923955057823598E-4</v>
      </c>
      <c r="S136" s="3"/>
      <c r="T136" s="8">
        <v>7495</v>
      </c>
      <c r="U136" s="3"/>
      <c r="V136" s="7">
        <f t="shared" si="33"/>
        <v>8.3529991947909384E-4</v>
      </c>
      <c r="W136" s="3"/>
      <c r="X136" s="8">
        <f t="shared" si="34"/>
        <v>-4190.4799999999996</v>
      </c>
      <c r="Y136" s="3"/>
      <c r="Z136" s="7">
        <f t="shared" si="35"/>
        <v>-0.55910340226817867</v>
      </c>
    </row>
    <row r="137" spans="1:26" s="70" customFormat="1" ht="15" hidden="1" customHeight="1" outlineLevel="2" x14ac:dyDescent="0.3">
      <c r="A137" s="26"/>
      <c r="B137" s="12" t="str">
        <f>CONCATENATE("          ","6247"," - ","STORE SUPPLIES")</f>
        <v xml:space="preserve">          6247 - STORE SUPPLIES</v>
      </c>
      <c r="C137" s="12"/>
      <c r="D137" s="8">
        <v>14427.9</v>
      </c>
      <c r="E137" s="3"/>
      <c r="F137" s="7">
        <f t="shared" si="28"/>
        <v>1.5187021924041226E-2</v>
      </c>
      <c r="G137" s="3"/>
      <c r="H137" s="8">
        <v>6975</v>
      </c>
      <c r="I137" s="3"/>
      <c r="J137" s="7">
        <f t="shared" si="29"/>
        <v>1.0656664425838782E-2</v>
      </c>
      <c r="K137" s="3"/>
      <c r="L137" s="8">
        <f t="shared" si="30"/>
        <v>7452.9</v>
      </c>
      <c r="M137" s="3"/>
      <c r="N137" s="7">
        <f t="shared" si="31"/>
        <v>1.068516129032258</v>
      </c>
      <c r="O137" s="12"/>
      <c r="P137" s="8">
        <v>44513.48</v>
      </c>
      <c r="Q137" s="3"/>
      <c r="R137" s="7">
        <f t="shared" si="32"/>
        <v>6.8597026345349086E-3</v>
      </c>
      <c r="S137" s="3"/>
      <c r="T137" s="8">
        <v>47655</v>
      </c>
      <c r="U137" s="3"/>
      <c r="V137" s="7">
        <f t="shared" si="33"/>
        <v>5.3110363792896889E-3</v>
      </c>
      <c r="W137" s="3"/>
      <c r="X137" s="8">
        <f t="shared" si="34"/>
        <v>-3141.5199999999968</v>
      </c>
      <c r="Y137" s="3"/>
      <c r="Z137" s="7">
        <f t="shared" si="35"/>
        <v>-6.5922148777672787E-2</v>
      </c>
    </row>
    <row r="138" spans="1:26" s="69" customFormat="1" ht="15" customHeight="1" outlineLevel="1" collapsed="1" x14ac:dyDescent="0.3">
      <c r="A138" s="25"/>
      <c r="B138" s="14" t="str">
        <f>CONCATENATE("     ","Telephone/Data Lines                              ")</f>
        <v xml:space="preserve">     Telephone/Data Lines                              </v>
      </c>
      <c r="C138" s="14"/>
      <c r="D138" s="2">
        <f>SUM(OSRRefD22_21x_0)</f>
        <v>1862.87</v>
      </c>
      <c r="E138" s="2"/>
      <c r="F138" s="6">
        <f t="shared" si="28"/>
        <v>1.9608846423692068E-3</v>
      </c>
      <c r="G138" s="2"/>
      <c r="H138" s="2">
        <f>SUM(OSRRefH22_21x_0)</f>
        <v>2060</v>
      </c>
      <c r="I138" s="2"/>
      <c r="J138" s="6">
        <f t="shared" si="29"/>
        <v>3.1473446189574038E-3</v>
      </c>
      <c r="K138" s="2"/>
      <c r="L138" s="2">
        <f t="shared" si="30"/>
        <v>-197.13000000000011</v>
      </c>
      <c r="M138" s="2"/>
      <c r="N138" s="6">
        <f t="shared" si="31"/>
        <v>-9.5694174757281605E-2</v>
      </c>
      <c r="O138" s="14"/>
      <c r="P138" s="2">
        <f>SUM(OSRRefP22_21x_0)</f>
        <v>16276.06</v>
      </c>
      <c r="Q138" s="2"/>
      <c r="R138" s="6">
        <f t="shared" si="32"/>
        <v>2.508204967615388E-3</v>
      </c>
      <c r="S138" s="2"/>
      <c r="T138" s="2">
        <f>SUM(OSRRefT22_21x_0)</f>
        <v>17080</v>
      </c>
      <c r="U138" s="2"/>
      <c r="V138" s="6">
        <f t="shared" si="33"/>
        <v>1.9035253668716373E-3</v>
      </c>
      <c r="W138" s="2"/>
      <c r="X138" s="2">
        <f t="shared" si="34"/>
        <v>-803.94000000000051</v>
      </c>
      <c r="Y138" s="2"/>
      <c r="Z138" s="6">
        <f t="shared" si="35"/>
        <v>-4.7069086651053894E-2</v>
      </c>
    </row>
    <row r="139" spans="1:26" s="70" customFormat="1" ht="15" hidden="1" customHeight="1" outlineLevel="2" x14ac:dyDescent="0.3">
      <c r="A139" s="26"/>
      <c r="B139" s="12" t="str">
        <f>CONCATENATE("          ","6303"," - ","DATA PHONE LINES")</f>
        <v xml:space="preserve">          6303 - DATA PHONE LINES</v>
      </c>
      <c r="C139" s="12"/>
      <c r="D139" s="8"/>
      <c r="E139" s="3"/>
      <c r="F139" s="7">
        <f t="shared" si="28"/>
        <v>0</v>
      </c>
      <c r="G139" s="3"/>
      <c r="H139" s="8">
        <v>0</v>
      </c>
      <c r="I139" s="3"/>
      <c r="J139" s="7">
        <f t="shared" si="29"/>
        <v>0</v>
      </c>
      <c r="K139" s="3"/>
      <c r="L139" s="8">
        <f t="shared" si="30"/>
        <v>0</v>
      </c>
      <c r="M139" s="3"/>
      <c r="N139" s="7">
        <f t="shared" si="31"/>
        <v>0</v>
      </c>
      <c r="O139" s="12"/>
      <c r="P139" s="8">
        <v>295</v>
      </c>
      <c r="Q139" s="3"/>
      <c r="R139" s="7">
        <f t="shared" si="32"/>
        <v>4.5460662190145499E-5</v>
      </c>
      <c r="S139" s="3"/>
      <c r="T139" s="8">
        <v>0</v>
      </c>
      <c r="U139" s="3"/>
      <c r="V139" s="7">
        <f t="shared" si="33"/>
        <v>0</v>
      </c>
      <c r="W139" s="3"/>
      <c r="X139" s="8">
        <f t="shared" si="34"/>
        <v>295</v>
      </c>
      <c r="Y139" s="3"/>
      <c r="Z139" s="7">
        <f t="shared" si="35"/>
        <v>0</v>
      </c>
    </row>
    <row r="140" spans="1:26" s="70" customFormat="1" ht="15" hidden="1" customHeight="1" outlineLevel="2" x14ac:dyDescent="0.3">
      <c r="A140" s="26"/>
      <c r="B140" s="12" t="str">
        <f>CONCATENATE("          ","6309"," - ","TELEPHONE")</f>
        <v xml:space="preserve">          6309 - TELEPHONE</v>
      </c>
      <c r="C140" s="12"/>
      <c r="D140" s="8">
        <v>1862.87</v>
      </c>
      <c r="E140" s="3"/>
      <c r="F140" s="7">
        <f t="shared" si="28"/>
        <v>1.9608846423692068E-3</v>
      </c>
      <c r="G140" s="3"/>
      <c r="H140" s="8">
        <v>2060</v>
      </c>
      <c r="I140" s="3"/>
      <c r="J140" s="7">
        <f t="shared" si="29"/>
        <v>3.1473446189574038E-3</v>
      </c>
      <c r="K140" s="3"/>
      <c r="L140" s="8">
        <f t="shared" si="30"/>
        <v>-197.13000000000011</v>
      </c>
      <c r="M140" s="3"/>
      <c r="N140" s="7">
        <f t="shared" si="31"/>
        <v>-9.5694174757281605E-2</v>
      </c>
      <c r="O140" s="12"/>
      <c r="P140" s="8">
        <v>15981.06</v>
      </c>
      <c r="Q140" s="3"/>
      <c r="R140" s="7">
        <f t="shared" si="32"/>
        <v>2.4627443054252426E-3</v>
      </c>
      <c r="S140" s="3"/>
      <c r="T140" s="8">
        <v>17080</v>
      </c>
      <c r="U140" s="3"/>
      <c r="V140" s="7">
        <f t="shared" si="33"/>
        <v>1.9035253668716373E-3</v>
      </c>
      <c r="W140" s="3"/>
      <c r="X140" s="8">
        <f t="shared" si="34"/>
        <v>-1098.9400000000005</v>
      </c>
      <c r="Y140" s="3"/>
      <c r="Z140" s="7">
        <f t="shared" si="35"/>
        <v>-6.4340749414519935E-2</v>
      </c>
    </row>
    <row r="141" spans="1:26" s="69" customFormat="1" ht="15" customHeight="1" outlineLevel="1" collapsed="1" x14ac:dyDescent="0.3">
      <c r="A141" s="25"/>
      <c r="B141" s="14" t="str">
        <f>CONCATENATE("     ","Training                                          ")</f>
        <v xml:space="preserve">     Training                                          </v>
      </c>
      <c r="C141" s="14"/>
      <c r="D141" s="2">
        <f>SUM(OSRRefD22_22x_0)</f>
        <v>300</v>
      </c>
      <c r="E141" s="2"/>
      <c r="F141" s="6">
        <f t="shared" si="28"/>
        <v>3.1578445769740352E-4</v>
      </c>
      <c r="G141" s="2"/>
      <c r="H141" s="2">
        <f>SUM(OSRRefH22_22x_0)</f>
        <v>2000</v>
      </c>
      <c r="I141" s="2"/>
      <c r="J141" s="6">
        <f t="shared" si="29"/>
        <v>3.0556743873372855E-3</v>
      </c>
      <c r="K141" s="2"/>
      <c r="L141" s="2">
        <f t="shared" si="30"/>
        <v>-1700</v>
      </c>
      <c r="M141" s="2"/>
      <c r="N141" s="6">
        <f t="shared" si="31"/>
        <v>-0.85</v>
      </c>
      <c r="O141" s="14"/>
      <c r="P141" s="2">
        <f>SUM(OSRRefP22_22x_0)</f>
        <v>895</v>
      </c>
      <c r="Q141" s="2"/>
      <c r="R141" s="6">
        <f t="shared" si="32"/>
        <v>1.3792302596671261E-4</v>
      </c>
      <c r="S141" s="2"/>
      <c r="T141" s="2">
        <f>SUM(OSRRefT22_22x_0)</f>
        <v>2000</v>
      </c>
      <c r="U141" s="2"/>
      <c r="V141" s="6">
        <f t="shared" si="33"/>
        <v>2.2289524202243998E-4</v>
      </c>
      <c r="W141" s="2"/>
      <c r="X141" s="2">
        <f t="shared" si="34"/>
        <v>-1105</v>
      </c>
      <c r="Y141" s="2"/>
      <c r="Z141" s="6">
        <f t="shared" si="35"/>
        <v>-0.55249999999999999</v>
      </c>
    </row>
    <row r="142" spans="1:26" s="70" customFormat="1" ht="15" hidden="1" customHeight="1" outlineLevel="2" x14ac:dyDescent="0.3">
      <c r="A142" s="26"/>
      <c r="B142" s="12" t="str">
        <f>CONCATENATE("          ","6376"," - ","TRAINING")</f>
        <v xml:space="preserve">          6376 - TRAINING</v>
      </c>
      <c r="C142" s="12"/>
      <c r="D142" s="8">
        <v>300</v>
      </c>
      <c r="E142" s="3"/>
      <c r="F142" s="7">
        <f t="shared" si="28"/>
        <v>3.1578445769740352E-4</v>
      </c>
      <c r="G142" s="3"/>
      <c r="H142" s="8">
        <v>2000</v>
      </c>
      <c r="I142" s="3"/>
      <c r="J142" s="7">
        <f t="shared" si="29"/>
        <v>3.0556743873372855E-3</v>
      </c>
      <c r="K142" s="3"/>
      <c r="L142" s="8">
        <f t="shared" si="30"/>
        <v>-1700</v>
      </c>
      <c r="M142" s="3"/>
      <c r="N142" s="7">
        <f t="shared" si="31"/>
        <v>-0.85</v>
      </c>
      <c r="O142" s="12"/>
      <c r="P142" s="8">
        <v>895</v>
      </c>
      <c r="Q142" s="3"/>
      <c r="R142" s="7">
        <f t="shared" si="32"/>
        <v>1.3792302596671261E-4</v>
      </c>
      <c r="S142" s="3"/>
      <c r="T142" s="8">
        <v>2000</v>
      </c>
      <c r="U142" s="3"/>
      <c r="V142" s="7">
        <f t="shared" si="33"/>
        <v>2.2289524202243998E-4</v>
      </c>
      <c r="W142" s="3"/>
      <c r="X142" s="8">
        <f t="shared" si="34"/>
        <v>-1105</v>
      </c>
      <c r="Y142" s="3"/>
      <c r="Z142" s="7">
        <f t="shared" si="35"/>
        <v>-0.55249999999999999</v>
      </c>
    </row>
    <row r="143" spans="1:26" s="69" customFormat="1" ht="15" customHeight="1" outlineLevel="1" collapsed="1" x14ac:dyDescent="0.3">
      <c r="A143" s="25"/>
      <c r="B143" s="14" t="str">
        <f>CONCATENATE("     ","Travel                                            ")</f>
        <v xml:space="preserve">     Travel                                            </v>
      </c>
      <c r="C143" s="14"/>
      <c r="D143" s="2">
        <f>SUM(OSRRefD22_23x_0)</f>
        <v>206.75</v>
      </c>
      <c r="E143" s="2"/>
      <c r="F143" s="6">
        <f t="shared" si="28"/>
        <v>2.1762812209646058E-4</v>
      </c>
      <c r="G143" s="2"/>
      <c r="H143" s="2">
        <f>SUM(OSRRefH22_23x_0)</f>
        <v>175</v>
      </c>
      <c r="I143" s="2"/>
      <c r="J143" s="6">
        <f t="shared" si="29"/>
        <v>2.6737150889201249E-4</v>
      </c>
      <c r="K143" s="2"/>
      <c r="L143" s="2">
        <f t="shared" si="30"/>
        <v>31.75</v>
      </c>
      <c r="M143" s="2"/>
      <c r="N143" s="6">
        <f t="shared" si="31"/>
        <v>0.18142857142857144</v>
      </c>
      <c r="O143" s="14"/>
      <c r="P143" s="2">
        <f>SUM(OSRRefP22_23x_0)</f>
        <v>1088.76</v>
      </c>
      <c r="Q143" s="2"/>
      <c r="R143" s="6">
        <f t="shared" si="32"/>
        <v>1.6778220530895869E-4</v>
      </c>
      <c r="S143" s="2"/>
      <c r="T143" s="2">
        <f>SUM(OSRRefT22_23x_0)</f>
        <v>1650</v>
      </c>
      <c r="U143" s="2"/>
      <c r="V143" s="6">
        <f t="shared" si="33"/>
        <v>1.8388857466851297E-4</v>
      </c>
      <c r="W143" s="2"/>
      <c r="X143" s="2">
        <f t="shared" si="34"/>
        <v>-561.24</v>
      </c>
      <c r="Y143" s="2"/>
      <c r="Z143" s="6">
        <f t="shared" si="35"/>
        <v>-0.34014545454545453</v>
      </c>
    </row>
    <row r="144" spans="1:26" s="70" customFormat="1" ht="15" hidden="1" customHeight="1" outlineLevel="2" x14ac:dyDescent="0.3">
      <c r="A144" s="26"/>
      <c r="B144" s="12" t="str">
        <f>CONCATENATE("          ","6292"," - ","TRAVEL/CONFERENCE")</f>
        <v xml:space="preserve">          6292 - TRAVEL/CONFERENCE</v>
      </c>
      <c r="C144" s="12"/>
      <c r="D144" s="8"/>
      <c r="E144" s="3"/>
      <c r="F144" s="7">
        <f t="shared" si="28"/>
        <v>0</v>
      </c>
      <c r="G144" s="3"/>
      <c r="H144" s="8">
        <v>125</v>
      </c>
      <c r="I144" s="3"/>
      <c r="J144" s="7">
        <f t="shared" si="29"/>
        <v>1.9097964920858034E-4</v>
      </c>
      <c r="K144" s="3"/>
      <c r="L144" s="8">
        <f t="shared" si="30"/>
        <v>-125</v>
      </c>
      <c r="M144" s="3"/>
      <c r="N144" s="7">
        <f t="shared" si="31"/>
        <v>-1</v>
      </c>
      <c r="O144" s="12"/>
      <c r="P144" s="8">
        <v>495</v>
      </c>
      <c r="Q144" s="3"/>
      <c r="R144" s="7">
        <f t="shared" si="32"/>
        <v>7.6281450115667866E-5</v>
      </c>
      <c r="S144" s="3"/>
      <c r="T144" s="8">
        <v>1000</v>
      </c>
      <c r="U144" s="3"/>
      <c r="V144" s="7">
        <f t="shared" si="33"/>
        <v>1.1144762101121999E-4</v>
      </c>
      <c r="W144" s="3"/>
      <c r="X144" s="8">
        <f t="shared" si="34"/>
        <v>-505</v>
      </c>
      <c r="Y144" s="3"/>
      <c r="Z144" s="7">
        <f t="shared" si="35"/>
        <v>-0.505</v>
      </c>
    </row>
    <row r="145" spans="1:26" s="70" customFormat="1" ht="15" hidden="1" customHeight="1" outlineLevel="2" x14ac:dyDescent="0.3">
      <c r="A145" s="26"/>
      <c r="B145" s="12" t="str">
        <f>CONCATENATE("          ","6294"," - ","TRAVEL OPERATIONAL")</f>
        <v xml:space="preserve">          6294 - TRAVEL OPERATIONAL</v>
      </c>
      <c r="C145" s="12"/>
      <c r="D145" s="8">
        <v>116.74</v>
      </c>
      <c r="E145" s="3"/>
      <c r="F145" s="7">
        <f t="shared" si="28"/>
        <v>1.2288225863864961E-4</v>
      </c>
      <c r="G145" s="3"/>
      <c r="H145" s="8">
        <v>25</v>
      </c>
      <c r="I145" s="3"/>
      <c r="J145" s="7">
        <f t="shared" si="29"/>
        <v>3.8195929841716065E-5</v>
      </c>
      <c r="K145" s="3"/>
      <c r="L145" s="8">
        <f t="shared" si="30"/>
        <v>91.74</v>
      </c>
      <c r="M145" s="3"/>
      <c r="N145" s="7">
        <f t="shared" si="31"/>
        <v>3.6696</v>
      </c>
      <c r="O145" s="12"/>
      <c r="P145" s="8">
        <v>356.67</v>
      </c>
      <c r="Q145" s="3"/>
      <c r="R145" s="7">
        <f t="shared" si="32"/>
        <v>5.4964252146980322E-5</v>
      </c>
      <c r="S145" s="3"/>
      <c r="T145" s="8">
        <v>200</v>
      </c>
      <c r="U145" s="3"/>
      <c r="V145" s="7">
        <f t="shared" si="33"/>
        <v>2.2289524202243996E-5</v>
      </c>
      <c r="W145" s="3"/>
      <c r="X145" s="8">
        <f t="shared" si="34"/>
        <v>156.67000000000002</v>
      </c>
      <c r="Y145" s="3"/>
      <c r="Z145" s="7">
        <f t="shared" si="35"/>
        <v>0.7833500000000001</v>
      </c>
    </row>
    <row r="146" spans="1:26" s="70" customFormat="1" ht="15" hidden="1" customHeight="1" outlineLevel="2" x14ac:dyDescent="0.3">
      <c r="A146" s="26"/>
      <c r="B146" s="12" t="str">
        <f>CONCATENATE("          ","6298"," - ","VEHICLE MILEAGE")</f>
        <v xml:space="preserve">          6298 - VEHICLE MILEAGE</v>
      </c>
      <c r="C146" s="12"/>
      <c r="D146" s="8">
        <v>90.01</v>
      </c>
      <c r="E146" s="3"/>
      <c r="F146" s="7">
        <f t="shared" si="28"/>
        <v>9.4745863457810963E-5</v>
      </c>
      <c r="G146" s="3"/>
      <c r="H146" s="8">
        <v>25</v>
      </c>
      <c r="I146" s="3"/>
      <c r="J146" s="7">
        <f t="shared" si="29"/>
        <v>3.8195929841716065E-5</v>
      </c>
      <c r="K146" s="3"/>
      <c r="L146" s="8">
        <f t="shared" si="30"/>
        <v>65.010000000000005</v>
      </c>
      <c r="M146" s="3"/>
      <c r="N146" s="7">
        <f t="shared" si="31"/>
        <v>2.6004</v>
      </c>
      <c r="O146" s="12"/>
      <c r="P146" s="8">
        <v>237.09</v>
      </c>
      <c r="Q146" s="3"/>
      <c r="R146" s="7">
        <f t="shared" si="32"/>
        <v>3.6536503046310496E-5</v>
      </c>
      <c r="S146" s="3"/>
      <c r="T146" s="8">
        <v>450</v>
      </c>
      <c r="U146" s="3"/>
      <c r="V146" s="7">
        <f t="shared" si="33"/>
        <v>5.0151429455048998E-5</v>
      </c>
      <c r="W146" s="3"/>
      <c r="X146" s="8">
        <f t="shared" si="34"/>
        <v>-212.91</v>
      </c>
      <c r="Y146" s="3"/>
      <c r="Z146" s="7">
        <f t="shared" si="35"/>
        <v>-0.47313333333333335</v>
      </c>
    </row>
    <row r="147" spans="1:26" s="69" customFormat="1" ht="15" customHeight="1" outlineLevel="1" collapsed="1" x14ac:dyDescent="0.3">
      <c r="A147" s="25"/>
      <c r="B147" s="14" t="str">
        <f>CONCATENATE("     ","Utilities                                         ")</f>
        <v xml:space="preserve">     Utilities                                         </v>
      </c>
      <c r="C147" s="14"/>
      <c r="D147" s="2">
        <f>SUM(OSRRefD22_24x_0)</f>
        <v>6355.65</v>
      </c>
      <c r="E147" s="2"/>
      <c r="F147" s="6">
        <f t="shared" si="28"/>
        <v>6.6900516285483417E-3</v>
      </c>
      <c r="G147" s="2"/>
      <c r="H147" s="2">
        <f>SUM(OSRRefH22_24x_0)</f>
        <v>8800</v>
      </c>
      <c r="I147" s="2"/>
      <c r="J147" s="6">
        <f t="shared" si="29"/>
        <v>1.3444967304284055E-2</v>
      </c>
      <c r="K147" s="2"/>
      <c r="L147" s="2">
        <f t="shared" si="30"/>
        <v>-2444.3500000000004</v>
      </c>
      <c r="M147" s="2"/>
      <c r="N147" s="6">
        <f t="shared" si="31"/>
        <v>-0.2777670454545455</v>
      </c>
      <c r="O147" s="14"/>
      <c r="P147" s="2">
        <f>SUM(OSRRefP22_24x_0)</f>
        <v>42895.07</v>
      </c>
      <c r="Q147" s="2"/>
      <c r="R147" s="6">
        <f t="shared" si="32"/>
        <v>6.6102992776021843E-3</v>
      </c>
      <c r="S147" s="2"/>
      <c r="T147" s="2">
        <f>SUM(OSRRefT22_24x_0)</f>
        <v>51640</v>
      </c>
      <c r="U147" s="2"/>
      <c r="V147" s="6">
        <f t="shared" si="33"/>
        <v>5.7551551490194006E-3</v>
      </c>
      <c r="W147" s="2"/>
      <c r="X147" s="2">
        <f t="shared" si="34"/>
        <v>-8744.93</v>
      </c>
      <c r="Y147" s="2"/>
      <c r="Z147" s="6">
        <f t="shared" si="35"/>
        <v>-0.16934411309062741</v>
      </c>
    </row>
    <row r="148" spans="1:26" s="70" customFormat="1" ht="15" hidden="1" customHeight="1" outlineLevel="2" x14ac:dyDescent="0.3">
      <c r="A148" s="26"/>
      <c r="B148" s="12" t="str">
        <f>CONCATENATE("          ","6274"," - ","UTILITIES")</f>
        <v xml:space="preserve">          6274 - UTILITIES</v>
      </c>
      <c r="C148" s="12"/>
      <c r="D148" s="8">
        <v>6355.65</v>
      </c>
      <c r="E148" s="3"/>
      <c r="F148" s="7">
        <f t="shared" si="28"/>
        <v>6.6900516285483417E-3</v>
      </c>
      <c r="G148" s="3"/>
      <c r="H148" s="8">
        <v>8800</v>
      </c>
      <c r="I148" s="3"/>
      <c r="J148" s="7">
        <f t="shared" si="29"/>
        <v>1.3444967304284055E-2</v>
      </c>
      <c r="K148" s="3"/>
      <c r="L148" s="8">
        <f t="shared" si="30"/>
        <v>-2444.3500000000004</v>
      </c>
      <c r="M148" s="3"/>
      <c r="N148" s="7">
        <f t="shared" si="31"/>
        <v>-0.2777670454545455</v>
      </c>
      <c r="O148" s="12"/>
      <c r="P148" s="8">
        <v>42895.07</v>
      </c>
      <c r="Q148" s="3"/>
      <c r="R148" s="7">
        <f t="shared" si="32"/>
        <v>6.6102992776021843E-3</v>
      </c>
      <c r="S148" s="3"/>
      <c r="T148" s="8">
        <v>51640</v>
      </c>
      <c r="U148" s="3"/>
      <c r="V148" s="7">
        <f t="shared" si="33"/>
        <v>5.7551551490194006E-3</v>
      </c>
      <c r="W148" s="3"/>
      <c r="X148" s="8">
        <f t="shared" si="34"/>
        <v>-8744.93</v>
      </c>
      <c r="Y148" s="3"/>
      <c r="Z148" s="7">
        <f t="shared" si="35"/>
        <v>-0.16934411309062741</v>
      </c>
    </row>
    <row r="149" spans="1:26" s="65" customFormat="1" ht="15" customHeight="1" x14ac:dyDescent="0.3">
      <c r="A149" s="35"/>
      <c r="B149" s="35"/>
      <c r="C149" s="35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O149" s="35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63" customFormat="1" ht="15" customHeight="1" collapsed="1" x14ac:dyDescent="0.3">
      <c r="A150" s="11"/>
      <c r="B150" s="27" t="s">
        <v>291</v>
      </c>
      <c r="C150" s="11"/>
      <c r="D150" s="5">
        <f>SUM(OSRRefD25x_0)</f>
        <v>212753.63999999998</v>
      </c>
      <c r="E150" s="5"/>
      <c r="F150" s="13">
        <f t="shared" ref="F150:F157" si="36">IF(D$12=0,0,D150/D$12)</f>
        <v>0.22394764276849535</v>
      </c>
      <c r="G150" s="5"/>
      <c r="H150" s="5">
        <f>SUM(OSRRefH25x_0)</f>
        <v>213500.4</v>
      </c>
      <c r="I150" s="5"/>
      <c r="J150" s="13">
        <f t="shared" ref="J150:J157" si="37">IF(H$12=0,0,H150/H$12)</f>
        <v>0.32619385198313267</v>
      </c>
      <c r="K150" s="5"/>
      <c r="L150" s="5">
        <f t="shared" ref="L150:L157" si="38">+D150-H150</f>
        <v>-746.76000000000931</v>
      </c>
      <c r="M150" s="5"/>
      <c r="N150" s="13">
        <f t="shared" ref="N150:N157" si="39">IF(H150=0,0,L150/H150)</f>
        <v>-3.4976983649679782E-3</v>
      </c>
      <c r="O150" s="11"/>
      <c r="P150" s="5">
        <f>SUM(OSRRefP25x_0)</f>
        <v>732492.80999999994</v>
      </c>
      <c r="Q150" s="5"/>
      <c r="R150" s="13">
        <f t="shared" ref="R150:R157" si="40">IF(P$12=0,0,P150/P$12)</f>
        <v>0.11288002776989975</v>
      </c>
      <c r="S150" s="5"/>
      <c r="T150" s="5">
        <f>SUM(OSRRefT25x_0)</f>
        <v>656352.23</v>
      </c>
      <c r="U150" s="5"/>
      <c r="V150" s="13">
        <f t="shared" ref="V150:V157" si="41">IF(T$12=0,0,T150/T$12)</f>
        <v>7.3148894578909093E-2</v>
      </c>
      <c r="W150" s="5"/>
      <c r="X150" s="5">
        <f t="shared" ref="X150:X157" si="42">+P150-T150</f>
        <v>76140.579999999958</v>
      </c>
      <c r="Y150" s="5"/>
      <c r="Z150" s="13">
        <f t="shared" ref="Z150:Z157" si="43">IF(T150=0,0,X150/T150)</f>
        <v>0.11600566969963667</v>
      </c>
    </row>
    <row r="151" spans="1:26" s="70" customFormat="1" ht="15" hidden="1" customHeight="1" outlineLevel="1" x14ac:dyDescent="0.3">
      <c r="A151" s="42"/>
      <c r="B151" s="12" t="str">
        <f>CONCATENATE("          ","4187"," - ","NON-TAXABLE SALES-COMPUTER REP")</f>
        <v xml:space="preserve">          4187 - NON-TAXABLE SALES-COMPUTER REP</v>
      </c>
      <c r="C151" s="12"/>
      <c r="D151" s="3">
        <f>0</f>
        <v>0</v>
      </c>
      <c r="E151" s="3"/>
      <c r="F151" s="20">
        <f t="shared" si="36"/>
        <v>0</v>
      </c>
      <c r="G151" s="3"/>
      <c r="H151" s="3"/>
      <c r="I151" s="3"/>
      <c r="J151" s="20">
        <f t="shared" si="37"/>
        <v>0</v>
      </c>
      <c r="K151" s="3"/>
      <c r="L151" s="3">
        <f t="shared" si="38"/>
        <v>0</v>
      </c>
      <c r="M151" s="3"/>
      <c r="N151" s="20">
        <f t="shared" si="39"/>
        <v>0</v>
      </c>
      <c r="O151" s="12"/>
      <c r="P151" s="3">
        <f>0</f>
        <v>0</v>
      </c>
      <c r="Q151" s="3"/>
      <c r="R151" s="20">
        <f t="shared" si="40"/>
        <v>0</v>
      </c>
      <c r="S151" s="3"/>
      <c r="T151" s="3"/>
      <c r="U151" s="3"/>
      <c r="V151" s="20">
        <f t="shared" si="41"/>
        <v>0</v>
      </c>
      <c r="W151" s="3"/>
      <c r="X151" s="3">
        <f t="shared" si="42"/>
        <v>0</v>
      </c>
      <c r="Y151" s="3"/>
      <c r="Z151" s="20">
        <f t="shared" si="43"/>
        <v>0</v>
      </c>
    </row>
    <row r="152" spans="1:26" s="70" customFormat="1" ht="15" hidden="1" customHeight="1" outlineLevel="1" x14ac:dyDescent="0.3">
      <c r="A152" s="42"/>
      <c r="B152" s="12" t="str">
        <f>CONCATENATE("          ","9087"," - ","")</f>
        <v xml:space="preserve">          9087 - </v>
      </c>
      <c r="C152" s="12"/>
      <c r="D152" s="3">
        <f>--576.08</f>
        <v>576.08000000000004</v>
      </c>
      <c r="E152" s="3"/>
      <c r="F152" s="20">
        <f t="shared" si="36"/>
        <v>6.0639036796773403E-4</v>
      </c>
      <c r="G152" s="3"/>
      <c r="H152" s="3"/>
      <c r="I152" s="3"/>
      <c r="J152" s="20">
        <f t="shared" si="37"/>
        <v>0</v>
      </c>
      <c r="K152" s="3"/>
      <c r="L152" s="3">
        <f t="shared" si="38"/>
        <v>576.08000000000004</v>
      </c>
      <c r="M152" s="3"/>
      <c r="N152" s="20">
        <f t="shared" si="39"/>
        <v>0</v>
      </c>
      <c r="O152" s="12"/>
      <c r="P152" s="3">
        <f>--2207.09</f>
        <v>2207.09</v>
      </c>
      <c r="Q152" s="3"/>
      <c r="R152" s="20">
        <f t="shared" si="40"/>
        <v>3.4012126411270586E-4</v>
      </c>
      <c r="S152" s="3"/>
      <c r="T152" s="3"/>
      <c r="U152" s="3"/>
      <c r="V152" s="20">
        <f t="shared" si="41"/>
        <v>0</v>
      </c>
      <c r="W152" s="3"/>
      <c r="X152" s="3">
        <f t="shared" si="42"/>
        <v>2207.09</v>
      </c>
      <c r="Y152" s="3"/>
      <c r="Z152" s="20">
        <f t="shared" si="43"/>
        <v>0</v>
      </c>
    </row>
    <row r="153" spans="1:26" s="70" customFormat="1" ht="15" hidden="1" customHeight="1" outlineLevel="1" x14ac:dyDescent="0.3">
      <c r="A153" s="42"/>
      <c r="B153" s="12" t="str">
        <f>CONCATENATE("          ","9150"," - ","MISC. INCOME")</f>
        <v xml:space="preserve">          9150 - MISC. INCOME</v>
      </c>
      <c r="C153" s="12"/>
      <c r="D153" s="3">
        <f>--59463.88</f>
        <v>59463.88</v>
      </c>
      <c r="E153" s="3"/>
      <c r="F153" s="20">
        <f t="shared" si="36"/>
        <v>6.2592563661278258E-2</v>
      </c>
      <c r="G153" s="3"/>
      <c r="H153" s="3">
        <v>6684</v>
      </c>
      <c r="I153" s="3"/>
      <c r="J153" s="20">
        <f t="shared" si="37"/>
        <v>1.0212063802481207E-2</v>
      </c>
      <c r="K153" s="3"/>
      <c r="L153" s="3">
        <f t="shared" si="38"/>
        <v>52779.88</v>
      </c>
      <c r="M153" s="3"/>
      <c r="N153" s="20">
        <f t="shared" si="39"/>
        <v>7.8964512268102931</v>
      </c>
      <c r="O153" s="12"/>
      <c r="P153" s="3">
        <f>--322880.69</f>
        <v>322880.69</v>
      </c>
      <c r="Q153" s="3"/>
      <c r="R153" s="20">
        <f t="shared" si="40"/>
        <v>4.9757186358681663E-2</v>
      </c>
      <c r="S153" s="3"/>
      <c r="T153" s="3">
        <v>141157</v>
      </c>
      <c r="U153" s="3"/>
      <c r="V153" s="20">
        <f t="shared" si="41"/>
        <v>1.573161183908078E-2</v>
      </c>
      <c r="W153" s="3"/>
      <c r="X153" s="3">
        <f t="shared" si="42"/>
        <v>181723.69</v>
      </c>
      <c r="Y153" s="3"/>
      <c r="Z153" s="20">
        <f t="shared" si="43"/>
        <v>1.28738702296025</v>
      </c>
    </row>
    <row r="154" spans="1:26" s="70" customFormat="1" ht="15" hidden="1" customHeight="1" outlineLevel="1" x14ac:dyDescent="0.3">
      <c r="A154" s="42"/>
      <c r="B154" s="12" t="str">
        <f>CONCATENATE("          ","9151"," - ","MISC. INCOME")</f>
        <v xml:space="preserve">          9151 - MISC. INCOME</v>
      </c>
      <c r="C154" s="12"/>
      <c r="D154" s="3">
        <f>--152339.59</f>
        <v>152339.59</v>
      </c>
      <c r="E154" s="3"/>
      <c r="F154" s="20">
        <f t="shared" si="36"/>
        <v>0.16035491604664931</v>
      </c>
      <c r="G154" s="3"/>
      <c r="H154" s="3">
        <v>206816.4</v>
      </c>
      <c r="I154" s="3"/>
      <c r="J154" s="20">
        <f t="shared" si="37"/>
        <v>0.31598178818065148</v>
      </c>
      <c r="K154" s="3"/>
      <c r="L154" s="3">
        <f t="shared" si="38"/>
        <v>-54476.81</v>
      </c>
      <c r="M154" s="3"/>
      <c r="N154" s="20">
        <f t="shared" si="39"/>
        <v>-0.26340662539334403</v>
      </c>
      <c r="O154" s="12"/>
      <c r="P154" s="3">
        <f>--323761.7</f>
        <v>323761.7</v>
      </c>
      <c r="Q154" s="3"/>
      <c r="R154" s="20">
        <f t="shared" si="40"/>
        <v>4.9892953470532984E-2</v>
      </c>
      <c r="S154" s="3"/>
      <c r="T154" s="3">
        <v>456862.23</v>
      </c>
      <c r="U154" s="3"/>
      <c r="V154" s="20">
        <f t="shared" si="41"/>
        <v>5.091620866338082E-2</v>
      </c>
      <c r="W154" s="3"/>
      <c r="X154" s="3">
        <f t="shared" si="42"/>
        <v>-133100.52999999997</v>
      </c>
      <c r="Y154" s="3"/>
      <c r="Z154" s="20">
        <f t="shared" si="43"/>
        <v>-0.29133625250658163</v>
      </c>
    </row>
    <row r="155" spans="1:26" s="70" customFormat="1" ht="15" hidden="1" customHeight="1" outlineLevel="1" x14ac:dyDescent="0.3">
      <c r="A155" s="42"/>
      <c r="B155" s="12" t="str">
        <f>CONCATENATE("          ","9152"," - ","MISC. INCOME")</f>
        <v xml:space="preserve">          9152 - MISC. INCOME</v>
      </c>
      <c r="C155" s="12"/>
      <c r="D155" s="3">
        <f>--374.09</f>
        <v>374.09</v>
      </c>
      <c r="E155" s="3"/>
      <c r="F155" s="20">
        <f t="shared" si="36"/>
        <v>3.9377269260007221E-4</v>
      </c>
      <c r="G155" s="3"/>
      <c r="H155" s="3"/>
      <c r="I155" s="3"/>
      <c r="J155" s="20">
        <f t="shared" si="37"/>
        <v>0</v>
      </c>
      <c r="K155" s="3"/>
      <c r="L155" s="3">
        <f t="shared" si="38"/>
        <v>374.09</v>
      </c>
      <c r="M155" s="3"/>
      <c r="N155" s="20">
        <f t="shared" si="39"/>
        <v>0</v>
      </c>
      <c r="O155" s="12"/>
      <c r="P155" s="3">
        <f>--3867.63</f>
        <v>3867.63</v>
      </c>
      <c r="Q155" s="3"/>
      <c r="R155" s="20">
        <f t="shared" si="40"/>
        <v>5.960170200219405E-4</v>
      </c>
      <c r="S155" s="3"/>
      <c r="T155" s="3"/>
      <c r="U155" s="3"/>
      <c r="V155" s="20">
        <f t="shared" si="41"/>
        <v>0</v>
      </c>
      <c r="W155" s="3"/>
      <c r="X155" s="3">
        <f t="shared" si="42"/>
        <v>3867.63</v>
      </c>
      <c r="Y155" s="3"/>
      <c r="Z155" s="20">
        <f t="shared" si="43"/>
        <v>0</v>
      </c>
    </row>
    <row r="156" spans="1:26" s="70" customFormat="1" ht="15" hidden="1" customHeight="1" outlineLevel="1" x14ac:dyDescent="0.3">
      <c r="A156" s="42"/>
      <c r="B156" s="12" t="str">
        <f>CONCATENATE("          ","9160"," - ","MISC. INCOME")</f>
        <v xml:space="preserve">          9160 - MISC. INCOME</v>
      </c>
      <c r="C156" s="12"/>
      <c r="D156" s="3">
        <f>0</f>
        <v>0</v>
      </c>
      <c r="E156" s="3"/>
      <c r="F156" s="20">
        <f t="shared" si="36"/>
        <v>0</v>
      </c>
      <c r="G156" s="3"/>
      <c r="H156" s="3">
        <v>0</v>
      </c>
      <c r="I156" s="3"/>
      <c r="J156" s="20">
        <f t="shared" si="37"/>
        <v>0</v>
      </c>
      <c r="K156" s="3"/>
      <c r="L156" s="3">
        <f t="shared" si="38"/>
        <v>0</v>
      </c>
      <c r="M156" s="3"/>
      <c r="N156" s="20">
        <f t="shared" si="39"/>
        <v>0</v>
      </c>
      <c r="O156" s="12"/>
      <c r="P156" s="3">
        <f>0</f>
        <v>0</v>
      </c>
      <c r="Q156" s="3"/>
      <c r="R156" s="20">
        <f t="shared" si="40"/>
        <v>0</v>
      </c>
      <c r="S156" s="3"/>
      <c r="T156" s="3">
        <v>58333</v>
      </c>
      <c r="U156" s="3"/>
      <c r="V156" s="20">
        <f t="shared" si="41"/>
        <v>6.5010740764474958E-3</v>
      </c>
      <c r="W156" s="3"/>
      <c r="X156" s="3">
        <f t="shared" si="42"/>
        <v>-58333</v>
      </c>
      <c r="Y156" s="3"/>
      <c r="Z156" s="20">
        <f t="shared" si="43"/>
        <v>-1</v>
      </c>
    </row>
    <row r="157" spans="1:26" s="70" customFormat="1" ht="15" hidden="1" customHeight="1" outlineLevel="1" x14ac:dyDescent="0.3">
      <c r="A157" s="42"/>
      <c r="B157" s="12" t="str">
        <f>CONCATENATE("          ","9163"," - ","MISC. INCOME")</f>
        <v xml:space="preserve">          9163 - MISC. INCOME</v>
      </c>
      <c r="C157" s="12"/>
      <c r="D157" s="3">
        <f>0</f>
        <v>0</v>
      </c>
      <c r="E157" s="3"/>
      <c r="F157" s="20">
        <f t="shared" si="36"/>
        <v>0</v>
      </c>
      <c r="G157" s="3"/>
      <c r="H157" s="3"/>
      <c r="I157" s="3"/>
      <c r="J157" s="20">
        <f t="shared" si="37"/>
        <v>0</v>
      </c>
      <c r="K157" s="3"/>
      <c r="L157" s="3">
        <f t="shared" si="38"/>
        <v>0</v>
      </c>
      <c r="M157" s="3"/>
      <c r="N157" s="20">
        <f t="shared" si="39"/>
        <v>0</v>
      </c>
      <c r="O157" s="12"/>
      <c r="P157" s="3">
        <f>--79775.7</f>
        <v>79775.7</v>
      </c>
      <c r="Q157" s="3"/>
      <c r="R157" s="20">
        <f t="shared" si="40"/>
        <v>1.2293749656550475E-2</v>
      </c>
      <c r="S157" s="3"/>
      <c r="T157" s="3"/>
      <c r="U157" s="3"/>
      <c r="V157" s="20">
        <f t="shared" si="41"/>
        <v>0</v>
      </c>
      <c r="W157" s="3"/>
      <c r="X157" s="3">
        <f t="shared" si="42"/>
        <v>79775.7</v>
      </c>
      <c r="Y157" s="3"/>
      <c r="Z157" s="20">
        <f t="shared" si="43"/>
        <v>0</v>
      </c>
    </row>
    <row r="158" spans="1:26" ht="15" customHeight="1" x14ac:dyDescent="0.3">
      <c r="A158" s="10"/>
      <c r="B158" s="11"/>
      <c r="C158" s="11"/>
      <c r="D158" s="4"/>
      <c r="E158" s="4"/>
      <c r="F158" s="9"/>
      <c r="G158" s="4"/>
      <c r="H158" s="4"/>
      <c r="I158" s="4"/>
      <c r="J158" s="9"/>
      <c r="K158" s="4"/>
      <c r="L158" s="4"/>
      <c r="M158" s="4"/>
      <c r="N158" s="9"/>
      <c r="O158" s="11"/>
      <c r="P158" s="4"/>
      <c r="Q158" s="4"/>
      <c r="R158" s="9"/>
      <c r="S158" s="4"/>
      <c r="T158" s="4"/>
      <c r="U158" s="4"/>
      <c r="V158" s="9"/>
      <c r="W158" s="4"/>
      <c r="X158" s="4"/>
      <c r="Y158" s="4"/>
      <c r="Z158" s="9"/>
    </row>
    <row r="159" spans="1:26" s="63" customFormat="1" ht="15" customHeight="1" x14ac:dyDescent="0.3">
      <c r="A159" s="11"/>
      <c r="B159" s="28" t="s">
        <v>292</v>
      </c>
      <c r="C159" s="28"/>
      <c r="D159" s="21">
        <f>+D56-D58+D150</f>
        <v>285882.33000000007</v>
      </c>
      <c r="E159" s="15"/>
      <c r="F159" s="22">
        <f>IF(D$12=0,0,D159/D$12)</f>
        <v>0.30092398848106722</v>
      </c>
      <c r="G159" s="15"/>
      <c r="H159" s="21">
        <f>+H56-H58+H150</f>
        <v>137549.28579487486</v>
      </c>
      <c r="I159" s="15"/>
      <c r="J159" s="22">
        <f>IF(H$12=0,0,H159/H$12)</f>
        <v>0.2101529147999677</v>
      </c>
      <c r="K159" s="16"/>
      <c r="L159" s="21">
        <f>+D159-H159</f>
        <v>148333.04420512522</v>
      </c>
      <c r="M159" s="16"/>
      <c r="N159" s="22">
        <f>IF(H159=0,0,L159/H159)</f>
        <v>1.0783992323037723</v>
      </c>
      <c r="O159" s="27"/>
      <c r="P159" s="21">
        <f>+P56-P58+P150</f>
        <v>401794.58000000089</v>
      </c>
      <c r="Q159" s="15"/>
      <c r="R159" s="22">
        <f>IF(P$12=0,0,P159/P$12)</f>
        <v>6.1918127699021802E-2</v>
      </c>
      <c r="S159" s="15"/>
      <c r="T159" s="21">
        <f>+T56-T58+T150</f>
        <v>690037.0243337499</v>
      </c>
      <c r="U159" s="15"/>
      <c r="V159" s="22">
        <f>IF(T$12=0,0,T159/T$12)</f>
        <v>7.6902984771657745E-2</v>
      </c>
      <c r="W159" s="16"/>
      <c r="X159" s="21">
        <f>+P159-T159</f>
        <v>-288242.44433374901</v>
      </c>
      <c r="Y159" s="16"/>
      <c r="Z159" s="22">
        <f>IF(T159=0,0,X159/T159)</f>
        <v>-0.41772025872387814</v>
      </c>
    </row>
    <row r="160" spans="1:26" ht="15" customHeight="1" x14ac:dyDescent="0.3">
      <c r="A160" s="10"/>
      <c r="B160" s="11"/>
      <c r="C160" s="10"/>
      <c r="D160" s="4"/>
      <c r="E160" s="4"/>
      <c r="F160" s="9"/>
      <c r="G160" s="4"/>
      <c r="H160" s="4"/>
      <c r="I160" s="4"/>
      <c r="J160" s="9"/>
      <c r="K160" s="4"/>
      <c r="L160" s="4"/>
      <c r="M160" s="4"/>
      <c r="N160" s="9"/>
      <c r="P160" s="4"/>
      <c r="Q160" s="4"/>
      <c r="R160" s="9"/>
      <c r="S160" s="4"/>
      <c r="T160" s="4"/>
      <c r="U160" s="4"/>
      <c r="V160" s="9"/>
      <c r="W160" s="4"/>
      <c r="X160" s="4"/>
      <c r="Y160" s="4"/>
      <c r="Z160" s="9"/>
    </row>
    <row r="161" spans="1:26" s="63" customFormat="1" ht="15" customHeight="1" x14ac:dyDescent="0.3">
      <c r="A161" s="49"/>
      <c r="B161" s="11" t="s">
        <v>293</v>
      </c>
      <c r="C161" s="11"/>
      <c r="D161" s="5">
        <v>76792.63</v>
      </c>
      <c r="E161" s="5"/>
      <c r="F161" s="13">
        <f>IF(D$12=0,0,D161/D$12)</f>
        <v>8.0833063399024532E-2</v>
      </c>
      <c r="G161" s="5"/>
      <c r="H161" s="5">
        <v>54653</v>
      </c>
      <c r="I161" s="5"/>
      <c r="J161" s="13">
        <f>IF(H$12=0,0,H161/H$12)</f>
        <v>8.3500886145572328E-2</v>
      </c>
      <c r="K161" s="5"/>
      <c r="L161" s="5">
        <f>+D161-H161</f>
        <v>22139.630000000005</v>
      </c>
      <c r="M161" s="5"/>
      <c r="N161" s="13">
        <f>IF(H161=0,0,L161/H161)</f>
        <v>0.40509450533365055</v>
      </c>
      <c r="O161" s="11"/>
      <c r="P161" s="5">
        <v>809990.36</v>
      </c>
      <c r="Q161" s="5"/>
      <c r="R161" s="13">
        <f>IF(P$12=0,0,P161/P$12)</f>
        <v>0.12482270553638759</v>
      </c>
      <c r="S161" s="5"/>
      <c r="T161" s="5">
        <v>1096909</v>
      </c>
      <c r="U161" s="5"/>
      <c r="V161" s="13">
        <f>IF(T$12=0,0,T161/T$12)</f>
        <v>0.1222478985157963</v>
      </c>
      <c r="W161" s="5"/>
      <c r="X161" s="5">
        <f>+P161-T161</f>
        <v>-286918.64</v>
      </c>
      <c r="Y161" s="5"/>
      <c r="Z161" s="13">
        <f>IF(T161=0,0,X161/T161)</f>
        <v>-0.26157013936434109</v>
      </c>
    </row>
    <row r="162" spans="1:26" ht="15" customHeight="1" x14ac:dyDescent="0.3">
      <c r="A162" s="10"/>
      <c r="B162" s="11"/>
      <c r="C162" s="11"/>
      <c r="D162" s="4"/>
      <c r="E162" s="4"/>
      <c r="F162" s="9"/>
      <c r="G162" s="4"/>
      <c r="H162" s="4"/>
      <c r="I162" s="4"/>
      <c r="J162" s="9"/>
      <c r="K162" s="4"/>
      <c r="L162" s="4"/>
      <c r="M162" s="4"/>
      <c r="N162" s="9"/>
      <c r="O162" s="11"/>
      <c r="P162" s="4"/>
      <c r="Q162" s="4"/>
      <c r="R162" s="9"/>
      <c r="S162" s="4"/>
      <c r="T162" s="4"/>
      <c r="U162" s="4"/>
      <c r="V162" s="9"/>
      <c r="W162" s="4"/>
      <c r="X162" s="4"/>
      <c r="Y162" s="4"/>
      <c r="Z162" s="9"/>
    </row>
    <row r="163" spans="1:26" s="63" customFormat="1" ht="15" customHeight="1" x14ac:dyDescent="0.3">
      <c r="A163" s="11"/>
      <c r="B163" s="28" t="s">
        <v>294</v>
      </c>
      <c r="C163" s="28"/>
      <c r="D163" s="33">
        <f>+D159-D161</f>
        <v>209089.70000000007</v>
      </c>
      <c r="E163" s="15"/>
      <c r="F163" s="32">
        <f>IF(D$12=0,0,D163/D$12)</f>
        <v>0.2200909250820427</v>
      </c>
      <c r="G163" s="15"/>
      <c r="H163" s="33">
        <f>+H159-H161</f>
        <v>82896.285794874857</v>
      </c>
      <c r="I163" s="15"/>
      <c r="J163" s="32">
        <f>IF(H$12=0,0,H163/H$12)</f>
        <v>0.12665202865439537</v>
      </c>
      <c r="K163" s="16"/>
      <c r="L163" s="33">
        <f>D163-H163</f>
        <v>126193.41420512521</v>
      </c>
      <c r="M163" s="16"/>
      <c r="N163" s="32">
        <f>IF(H163=0,0,L163/H163)</f>
        <v>1.5223048052766586</v>
      </c>
      <c r="O163" s="27"/>
      <c r="P163" s="33">
        <f>+P159-P161</f>
        <v>-408195.7799999991</v>
      </c>
      <c r="Q163" s="15"/>
      <c r="R163" s="32">
        <f>IF(P$12=0,0,P163/P$12)</f>
        <v>-6.2904577837365791E-2</v>
      </c>
      <c r="S163" s="15"/>
      <c r="T163" s="33">
        <f>+T159-T161</f>
        <v>-406871.9756662501</v>
      </c>
      <c r="U163" s="15"/>
      <c r="V163" s="32">
        <f>IF(T$12=0,0,T163/T$12)</f>
        <v>-4.5344913744138564E-2</v>
      </c>
      <c r="W163" s="16"/>
      <c r="X163" s="33">
        <f>P163-T163</f>
        <v>-1323.8043337489944</v>
      </c>
      <c r="Y163" s="16"/>
      <c r="Z163" s="32">
        <f>IF(T163=0,0,X163/T163)</f>
        <v>3.2536139447335338E-3</v>
      </c>
    </row>
    <row r="164" spans="1:26" ht="15" customHeight="1" x14ac:dyDescent="0.3">
      <c r="A164" s="10"/>
      <c r="B164" s="10"/>
      <c r="C164" s="10"/>
      <c r="D164" s="4"/>
      <c r="E164" s="4"/>
      <c r="F164" s="9"/>
      <c r="G164" s="4"/>
      <c r="H164" s="4"/>
      <c r="I164" s="4"/>
      <c r="J164" s="9"/>
      <c r="K164" s="4"/>
      <c r="L164" s="4"/>
      <c r="M164" s="4"/>
      <c r="N164" s="9"/>
      <c r="P164" s="4"/>
      <c r="Q164" s="4"/>
      <c r="R164" s="9"/>
      <c r="S164" s="4"/>
      <c r="T164" s="4"/>
      <c r="U164" s="4"/>
      <c r="V164" s="9"/>
      <c r="W164" s="4"/>
      <c r="X164" s="4"/>
      <c r="Y164" s="4"/>
      <c r="Z164" s="9"/>
    </row>
    <row r="165" spans="1:26" ht="15" customHeight="1" x14ac:dyDescent="0.3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s="63" customFormat="1" ht="15" customHeight="1" x14ac:dyDescent="0.3">
      <c r="A166" s="11"/>
      <c r="B166" s="28" t="s">
        <v>297</v>
      </c>
      <c r="C166" s="28"/>
      <c r="D166" s="34">
        <f>SUM(D163:D165)</f>
        <v>209089.70000000007</v>
      </c>
      <c r="E166" s="15"/>
      <c r="F166" s="30">
        <f>IF(D$12=0,0,D166/D$12)</f>
        <v>0.2200909250820427</v>
      </c>
      <c r="G166" s="15"/>
      <c r="H166" s="34">
        <f>SUM(H163:H165)</f>
        <v>82896.285794874857</v>
      </c>
      <c r="I166" s="15"/>
      <c r="J166" s="30">
        <f>IF(H$12=0,0,H166/H$12)</f>
        <v>0.12665202865439537</v>
      </c>
      <c r="K166" s="16"/>
      <c r="L166" s="34">
        <f>+D166-H166</f>
        <v>126193.41420512521</v>
      </c>
      <c r="M166" s="16"/>
      <c r="N166" s="30">
        <f>IF(H166=0,0,L166/H166)</f>
        <v>1.5223048052766586</v>
      </c>
      <c r="O166" s="27"/>
      <c r="P166" s="34">
        <f>SUM(P163:P165)</f>
        <v>-408195.7799999991</v>
      </c>
      <c r="Q166" s="15"/>
      <c r="R166" s="30">
        <f>IF(P$12=0,0,P166/P$12)</f>
        <v>-6.2904577837365791E-2</v>
      </c>
      <c r="S166" s="15"/>
      <c r="T166" s="34">
        <f>SUM(T163:T165)</f>
        <v>-406871.9756662501</v>
      </c>
      <c r="U166" s="15"/>
      <c r="V166" s="30">
        <f>IF(T$12=0,0,T166/T$12)</f>
        <v>-4.5344913744138564E-2</v>
      </c>
      <c r="W166" s="16"/>
      <c r="X166" s="34">
        <f>+P166-T166</f>
        <v>-1323.8043337489944</v>
      </c>
      <c r="Y166" s="16"/>
      <c r="Z166" s="30">
        <f>IF(T166=0,0,X166/T166)</f>
        <v>3.2536139447335338E-3</v>
      </c>
    </row>
    <row r="167" spans="1:26" ht="15" customHeight="1" x14ac:dyDescent="0.3">
      <c r="A167" s="10"/>
      <c r="C167" s="10"/>
      <c r="D167" s="19"/>
      <c r="E167" s="19"/>
      <c r="G167" s="19"/>
      <c r="H167" s="19"/>
      <c r="I167" s="19"/>
      <c r="J167" s="41"/>
      <c r="K167" s="19"/>
      <c r="L167" s="19"/>
      <c r="M167" s="19"/>
      <c r="P167" s="19"/>
      <c r="Q167" s="19"/>
      <c r="R167" s="41"/>
      <c r="S167" s="19"/>
      <c r="T167" s="19"/>
      <c r="U167" s="19"/>
      <c r="V167" s="41"/>
      <c r="W167" s="19"/>
      <c r="X167" s="19"/>
    </row>
    <row r="168" spans="1:26" ht="15" customHeight="1" x14ac:dyDescent="0.3">
      <c r="A168" s="10"/>
      <c r="B168" s="57">
        <v>44634.883411377312</v>
      </c>
      <c r="D168" s="19"/>
      <c r="E168" s="19"/>
      <c r="G168" s="19"/>
      <c r="H168" s="19"/>
      <c r="I168" s="19"/>
      <c r="J168" s="41"/>
      <c r="K168" s="19"/>
      <c r="L168" s="19"/>
      <c r="M168" s="19"/>
      <c r="P168" s="19"/>
      <c r="Q168" s="19"/>
      <c r="R168" s="41"/>
      <c r="S168" s="19"/>
      <c r="T168" s="19"/>
      <c r="U168" s="19"/>
      <c r="V168" s="41"/>
      <c r="W168" s="19"/>
      <c r="X168" s="19"/>
    </row>
    <row r="169" spans="1:26" ht="15" customHeight="1" x14ac:dyDescent="0.3">
      <c r="A169" s="10"/>
      <c r="B169" s="56" t="s">
        <v>298</v>
      </c>
      <c r="D169" s="19"/>
      <c r="E169" s="19"/>
      <c r="G169" s="19"/>
      <c r="H169" s="19"/>
      <c r="I169" s="19"/>
      <c r="J169" s="41"/>
      <c r="K169" s="19"/>
      <c r="L169" s="19"/>
      <c r="M169" s="19"/>
      <c r="P169" s="19"/>
      <c r="Q169" s="19"/>
      <c r="R169" s="41"/>
      <c r="S169" s="19"/>
      <c r="T169" s="19"/>
      <c r="U169" s="19"/>
      <c r="V169" s="41"/>
      <c r="W169" s="19"/>
      <c r="X169" s="19"/>
    </row>
    <row r="170" spans="1:26" ht="15" customHeight="1" x14ac:dyDescent="0.3">
      <c r="A170" s="10"/>
      <c r="B170" s="54"/>
      <c r="D170" s="19"/>
      <c r="E170" s="19"/>
      <c r="G170" s="19"/>
      <c r="H170" s="19"/>
      <c r="I170" s="19"/>
      <c r="J170" s="41"/>
      <c r="K170" s="19"/>
      <c r="L170" s="19"/>
      <c r="M170" s="19"/>
      <c r="P170" s="19"/>
      <c r="Q170" s="19"/>
      <c r="R170" s="41"/>
      <c r="S170" s="19"/>
      <c r="T170" s="19"/>
      <c r="U170" s="19"/>
      <c r="V170" s="41"/>
      <c r="W170" s="19"/>
      <c r="X170" s="19"/>
    </row>
    <row r="171" spans="1:26" ht="15" customHeight="1" x14ac:dyDescent="0.3">
      <c r="D171" s="19"/>
      <c r="E171" s="19"/>
      <c r="G171" s="19"/>
      <c r="H171" s="19"/>
      <c r="I171" s="19"/>
      <c r="J171" s="41"/>
      <c r="K171" s="19"/>
      <c r="L171" s="19"/>
      <c r="M171" s="19"/>
      <c r="P171" s="19"/>
      <c r="Q171" s="19"/>
      <c r="R171" s="41"/>
      <c r="S171" s="19"/>
      <c r="T171" s="19"/>
      <c r="U171" s="19"/>
      <c r="V171" s="41"/>
      <c r="W171" s="19"/>
      <c r="X171" s="19"/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FEFF6-0CC1-C404-9929-A97B0F29EC03}">
  <sheetPr>
    <tabColor rgb="FF92D050"/>
    <outlinePr summaryBelow="0" summaryRight="0"/>
  </sheetPr>
  <dimension ref="A2:Z11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","301"," - ","Bookstore Operations")</f>
        <v>Department 301 - Bookstore Operations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collapsed="1" x14ac:dyDescent="0.3">
      <c r="A14" s="11"/>
      <c r="B14" s="27" t="s">
        <v>288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8" t="s">
        <v>289</v>
      </c>
      <c r="C17" s="28"/>
      <c r="D17" s="21">
        <f>D12-D14</f>
        <v>0</v>
      </c>
      <c r="E17" s="15"/>
      <c r="F17" s="22">
        <f>IF(D$12=0,0,D17/D$12)</f>
        <v>0</v>
      </c>
      <c r="G17" s="15"/>
      <c r="H17" s="21">
        <f>H12-H14</f>
        <v>0</v>
      </c>
      <c r="I17" s="15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7"/>
      <c r="P17" s="21">
        <f>P12-P14</f>
        <v>0</v>
      </c>
      <c r="Q17" s="15"/>
      <c r="R17" s="22">
        <f>IF(P$12=0,0,P17/P$12)</f>
        <v>0</v>
      </c>
      <c r="S17" s="15"/>
      <c r="T17" s="21">
        <f>T12-T14</f>
        <v>0</v>
      </c>
      <c r="U17" s="15"/>
      <c r="V17" s="22">
        <f>IF(T$12=0,0,T17/T$12)</f>
        <v>0</v>
      </c>
      <c r="W17" s="16"/>
      <c r="X17" s="21">
        <f>+P17-T17</f>
        <v>0</v>
      </c>
      <c r="Y17" s="16"/>
      <c r="Z17" s="22">
        <f>IF(T17=0,0,X17/T17)</f>
        <v>0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7" t="s">
        <v>290</v>
      </c>
      <c r="C19" s="11"/>
      <c r="D19" s="23" cm="1">
        <f t="array" ref="D19">SUM(OSRRefD22x_0)</f>
        <v>145000.02000000002</v>
      </c>
      <c r="E19" s="23"/>
      <c r="F19" s="29">
        <f t="shared" ref="F19:F50" si="0">IF(D$12=0,0,D19/D$12)</f>
        <v>0</v>
      </c>
      <c r="G19" s="23"/>
      <c r="H19" s="23" cm="1">
        <f t="array" ref="H19">SUM(OSRRefH22x_0)</f>
        <v>124719.39756975768</v>
      </c>
      <c r="I19" s="23"/>
      <c r="J19" s="29">
        <f t="shared" ref="J19:J50" si="1">IF(H$12=0,0,H19/H$12)</f>
        <v>0</v>
      </c>
      <c r="K19" s="5"/>
      <c r="L19" s="23">
        <f t="shared" ref="L19:L50" si="2">+D19-H19</f>
        <v>20280.622430242336</v>
      </c>
      <c r="M19" s="5"/>
      <c r="N19" s="29">
        <f t="shared" ref="N19:N50" si="3">IF(H19=0,0,L19/H19)</f>
        <v>0.16261000955283672</v>
      </c>
      <c r="O19" s="11"/>
      <c r="P19" s="23" cm="1">
        <f t="array" ref="P19">SUM(OSRRefP22x_0)</f>
        <v>1157952.8400000003</v>
      </c>
      <c r="Q19" s="23"/>
      <c r="R19" s="29">
        <f t="shared" ref="R19:R50" si="4">IF(P$12=0,0,P19/P$12)</f>
        <v>0</v>
      </c>
      <c r="S19" s="23"/>
      <c r="T19" s="23" cm="1">
        <f t="array" ref="T19">SUM(OSRRefT22x_0)</f>
        <v>1123290.5161898923</v>
      </c>
      <c r="U19" s="23"/>
      <c r="V19" s="29">
        <f t="shared" ref="V19:V50" si="5">IF(T$12=0,0,T19/T$12)</f>
        <v>0</v>
      </c>
      <c r="W19" s="5"/>
      <c r="X19" s="23">
        <f t="shared" ref="X19:X50" si="6">+P19-T19</f>
        <v>34662.323810108006</v>
      </c>
      <c r="Y19" s="5"/>
      <c r="Z19" s="29">
        <f t="shared" ref="Z19:Z50" si="7">IF(T19=0,0,X19/T19)</f>
        <v>3.0857844262479589E-2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13243.66</v>
      </c>
      <c r="E20" s="2"/>
      <c r="F20" s="6">
        <f t="shared" si="0"/>
        <v>0</v>
      </c>
      <c r="G20" s="2"/>
      <c r="H20" s="2">
        <f>SUM(OSRRefH22_0x_0)</f>
        <v>4668.9925524500004</v>
      </c>
      <c r="I20" s="2"/>
      <c r="J20" s="6">
        <f t="shared" si="1"/>
        <v>0</v>
      </c>
      <c r="K20" s="2"/>
      <c r="L20" s="2">
        <f t="shared" si="2"/>
        <v>8574.6674475500004</v>
      </c>
      <c r="M20" s="2"/>
      <c r="N20" s="6">
        <f t="shared" si="3"/>
        <v>1.8365134129525527</v>
      </c>
      <c r="O20" s="14"/>
      <c r="P20" s="2">
        <f>SUM(OSRRefP22_0x_0)</f>
        <v>115814.48999999999</v>
      </c>
      <c r="Q20" s="2"/>
      <c r="R20" s="6">
        <f t="shared" si="4"/>
        <v>0</v>
      </c>
      <c r="S20" s="2"/>
      <c r="T20" s="2">
        <f>SUM(OSRRefT22_0x_0)</f>
        <v>48949.518032200038</v>
      </c>
      <c r="U20" s="2"/>
      <c r="V20" s="6">
        <f t="shared" si="5"/>
        <v>0</v>
      </c>
      <c r="W20" s="2"/>
      <c r="X20" s="2">
        <f t="shared" si="6"/>
        <v>66864.971967799953</v>
      </c>
      <c r="Y20" s="2"/>
      <c r="Z20" s="6">
        <f t="shared" si="7"/>
        <v>1.3659985768157052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2182.9299999999998</v>
      </c>
      <c r="E21" s="3"/>
      <c r="F21" s="7">
        <f t="shared" si="0"/>
        <v>0</v>
      </c>
      <c r="G21" s="3"/>
      <c r="H21" s="8">
        <v>1000.74701750769</v>
      </c>
      <c r="I21" s="3"/>
      <c r="J21" s="7">
        <f t="shared" si="1"/>
        <v>0</v>
      </c>
      <c r="K21" s="3"/>
      <c r="L21" s="8">
        <f t="shared" si="2"/>
        <v>1182.1829824923097</v>
      </c>
      <c r="M21" s="3"/>
      <c r="N21" s="7">
        <f t="shared" si="3"/>
        <v>1.1813005303143216</v>
      </c>
      <c r="O21" s="12"/>
      <c r="P21" s="8">
        <v>20767.11</v>
      </c>
      <c r="Q21" s="3"/>
      <c r="R21" s="7">
        <f t="shared" si="4"/>
        <v>0</v>
      </c>
      <c r="S21" s="3"/>
      <c r="T21" s="8">
        <v>13163.6955333923</v>
      </c>
      <c r="U21" s="3"/>
      <c r="V21" s="7">
        <f t="shared" si="5"/>
        <v>0</v>
      </c>
      <c r="W21" s="3"/>
      <c r="X21" s="8">
        <f t="shared" si="6"/>
        <v>7603.4144666077009</v>
      </c>
      <c r="Y21" s="3"/>
      <c r="Z21" s="7">
        <f t="shared" si="7"/>
        <v>0.57760485627460367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788.06</v>
      </c>
      <c r="E22" s="3"/>
      <c r="F22" s="7">
        <f t="shared" si="0"/>
        <v>0</v>
      </c>
      <c r="G22" s="3"/>
      <c r="H22" s="8">
        <v>596.60226299999999</v>
      </c>
      <c r="I22" s="3"/>
      <c r="J22" s="7">
        <f t="shared" si="1"/>
        <v>0</v>
      </c>
      <c r="K22" s="3"/>
      <c r="L22" s="8">
        <f t="shared" si="2"/>
        <v>191.45773699999995</v>
      </c>
      <c r="M22" s="3"/>
      <c r="N22" s="7">
        <f t="shared" si="3"/>
        <v>0.32091352794617201</v>
      </c>
      <c r="O22" s="12"/>
      <c r="P22" s="8">
        <v>6189.13</v>
      </c>
      <c r="Q22" s="3"/>
      <c r="R22" s="7">
        <f t="shared" si="4"/>
        <v>0</v>
      </c>
      <c r="S22" s="3"/>
      <c r="T22" s="8">
        <v>6596.1191820000004</v>
      </c>
      <c r="U22" s="3"/>
      <c r="V22" s="7">
        <f t="shared" si="5"/>
        <v>0</v>
      </c>
      <c r="W22" s="3"/>
      <c r="X22" s="8">
        <f t="shared" si="6"/>
        <v>-406.98918200000026</v>
      </c>
      <c r="Y22" s="3"/>
      <c r="Z22" s="7">
        <f t="shared" si="7"/>
        <v>-6.170130811320447E-2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4880.57</v>
      </c>
      <c r="E23" s="3"/>
      <c r="F23" s="7">
        <f t="shared" si="0"/>
        <v>0</v>
      </c>
      <c r="G23" s="3"/>
      <c r="H23" s="8">
        <v>1303</v>
      </c>
      <c r="I23" s="3"/>
      <c r="J23" s="7">
        <f t="shared" si="1"/>
        <v>0</v>
      </c>
      <c r="K23" s="3"/>
      <c r="L23" s="8">
        <f t="shared" si="2"/>
        <v>3577.5699999999997</v>
      </c>
      <c r="M23" s="3"/>
      <c r="N23" s="7">
        <f t="shared" si="3"/>
        <v>2.7456408288564846</v>
      </c>
      <c r="O23" s="12"/>
      <c r="P23" s="8">
        <v>42162.22</v>
      </c>
      <c r="Q23" s="3"/>
      <c r="R23" s="7">
        <f t="shared" si="4"/>
        <v>0</v>
      </c>
      <c r="S23" s="3"/>
      <c r="T23" s="8">
        <v>10883</v>
      </c>
      <c r="U23" s="3"/>
      <c r="V23" s="7">
        <f t="shared" si="5"/>
        <v>0</v>
      </c>
      <c r="W23" s="3"/>
      <c r="X23" s="8">
        <f t="shared" si="6"/>
        <v>31279.22</v>
      </c>
      <c r="Y23" s="3"/>
      <c r="Z23" s="7">
        <f t="shared" si="7"/>
        <v>2.8741358081411374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140.49</v>
      </c>
      <c r="E24" s="3"/>
      <c r="F24" s="7">
        <f t="shared" si="0"/>
        <v>0</v>
      </c>
      <c r="G24" s="3"/>
      <c r="H24" s="8">
        <v>80.311843096153794</v>
      </c>
      <c r="I24" s="3"/>
      <c r="J24" s="7">
        <f t="shared" si="1"/>
        <v>0</v>
      </c>
      <c r="K24" s="3"/>
      <c r="L24" s="8">
        <f t="shared" si="2"/>
        <v>60.178156903846215</v>
      </c>
      <c r="M24" s="3"/>
      <c r="N24" s="7">
        <f t="shared" si="3"/>
        <v>0.74930613697655513</v>
      </c>
      <c r="O24" s="12"/>
      <c r="P24" s="8">
        <v>1104.56</v>
      </c>
      <c r="Q24" s="3"/>
      <c r="R24" s="7">
        <f t="shared" si="4"/>
        <v>0</v>
      </c>
      <c r="S24" s="3"/>
      <c r="T24" s="8">
        <v>887.93912065384598</v>
      </c>
      <c r="U24" s="3"/>
      <c r="V24" s="7">
        <f t="shared" si="5"/>
        <v>0</v>
      </c>
      <c r="W24" s="3"/>
      <c r="X24" s="8">
        <f t="shared" si="6"/>
        <v>216.62087934615397</v>
      </c>
      <c r="Y24" s="3"/>
      <c r="Z24" s="7">
        <f t="shared" si="7"/>
        <v>0.24395915700464044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1579.6</v>
      </c>
      <c r="E25" s="3"/>
      <c r="F25" s="7">
        <f t="shared" si="0"/>
        <v>0</v>
      </c>
      <c r="G25" s="3"/>
      <c r="H25" s="8">
        <v>374.76153846153801</v>
      </c>
      <c r="I25" s="3"/>
      <c r="J25" s="7">
        <f t="shared" si="1"/>
        <v>0</v>
      </c>
      <c r="K25" s="3"/>
      <c r="L25" s="8">
        <f t="shared" si="2"/>
        <v>1204.8384615384618</v>
      </c>
      <c r="M25" s="3"/>
      <c r="N25" s="7">
        <f t="shared" si="3"/>
        <v>3.2149469406186544</v>
      </c>
      <c r="O25" s="12"/>
      <c r="P25" s="8">
        <v>13153.26</v>
      </c>
      <c r="Q25" s="3"/>
      <c r="R25" s="7">
        <f t="shared" si="4"/>
        <v>0</v>
      </c>
      <c r="S25" s="3"/>
      <c r="T25" s="8">
        <v>3279.1634615384601</v>
      </c>
      <c r="U25" s="3"/>
      <c r="V25" s="7">
        <f t="shared" si="5"/>
        <v>0</v>
      </c>
      <c r="W25" s="3"/>
      <c r="X25" s="8">
        <f t="shared" si="6"/>
        <v>9874.0965384615411</v>
      </c>
      <c r="Y25" s="3"/>
      <c r="Z25" s="7">
        <f t="shared" si="7"/>
        <v>3.0111632598604849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8">
        <v>374.51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374.51</v>
      </c>
      <c r="M27" s="3"/>
      <c r="N27" s="7">
        <f t="shared" si="3"/>
        <v>0</v>
      </c>
      <c r="O27" s="12"/>
      <c r="P27" s="8">
        <v>2770.33</v>
      </c>
      <c r="Q27" s="3"/>
      <c r="R27" s="7">
        <f t="shared" si="4"/>
        <v>0</v>
      </c>
      <c r="S27" s="3"/>
      <c r="T27" s="8"/>
      <c r="U27" s="3"/>
      <c r="V27" s="7">
        <f t="shared" si="5"/>
        <v>0</v>
      </c>
      <c r="W27" s="3"/>
      <c r="X27" s="8">
        <f t="shared" si="6"/>
        <v>2770.33</v>
      </c>
      <c r="Y27" s="3"/>
      <c r="Z27" s="7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8">
        <v>1242.79</v>
      </c>
      <c r="E28" s="3"/>
      <c r="F28" s="7">
        <f t="shared" si="0"/>
        <v>0</v>
      </c>
      <c r="G28" s="3"/>
      <c r="H28" s="8">
        <v>249.386769230769</v>
      </c>
      <c r="I28" s="3"/>
      <c r="J28" s="7">
        <f t="shared" si="1"/>
        <v>0</v>
      </c>
      <c r="K28" s="3"/>
      <c r="L28" s="8">
        <f t="shared" si="2"/>
        <v>993.40323076923096</v>
      </c>
      <c r="M28" s="3"/>
      <c r="N28" s="7">
        <f t="shared" si="3"/>
        <v>3.9833838572646547</v>
      </c>
      <c r="O28" s="12"/>
      <c r="P28" s="8">
        <v>12776.45</v>
      </c>
      <c r="Q28" s="3"/>
      <c r="R28" s="7">
        <f t="shared" si="4"/>
        <v>0</v>
      </c>
      <c r="S28" s="3"/>
      <c r="T28" s="8">
        <v>2182.1342307692298</v>
      </c>
      <c r="U28" s="3"/>
      <c r="V28" s="7">
        <f t="shared" si="5"/>
        <v>0</v>
      </c>
      <c r="W28" s="3"/>
      <c r="X28" s="8">
        <f t="shared" si="6"/>
        <v>10594.31576923077</v>
      </c>
      <c r="Y28" s="3"/>
      <c r="Z28" s="7">
        <f t="shared" si="7"/>
        <v>4.855024782547928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8">
        <v>1093.08</v>
      </c>
      <c r="E29" s="3"/>
      <c r="F29" s="7">
        <f t="shared" si="0"/>
        <v>0</v>
      </c>
      <c r="G29" s="3"/>
      <c r="H29" s="8">
        <v>1064.1831211538499</v>
      </c>
      <c r="I29" s="3"/>
      <c r="J29" s="7">
        <f t="shared" si="1"/>
        <v>0</v>
      </c>
      <c r="K29" s="3"/>
      <c r="L29" s="8">
        <f t="shared" si="2"/>
        <v>28.896878846150003</v>
      </c>
      <c r="M29" s="3"/>
      <c r="N29" s="7">
        <f t="shared" si="3"/>
        <v>2.7154047336156117E-2</v>
      </c>
      <c r="O29" s="12"/>
      <c r="P29" s="8">
        <v>11541.43</v>
      </c>
      <c r="Q29" s="3"/>
      <c r="R29" s="7">
        <f t="shared" si="4"/>
        <v>0</v>
      </c>
      <c r="S29" s="3"/>
      <c r="T29" s="8">
        <v>11957.466503846201</v>
      </c>
      <c r="U29" s="3"/>
      <c r="V29" s="7">
        <f t="shared" si="5"/>
        <v>0</v>
      </c>
      <c r="W29" s="3"/>
      <c r="X29" s="8">
        <f t="shared" si="6"/>
        <v>-416.0365038462005</v>
      </c>
      <c r="Y29" s="3"/>
      <c r="Z29" s="7">
        <f t="shared" si="7"/>
        <v>-3.4793031091693169E-2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8">
        <v>961.63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961.63</v>
      </c>
      <c r="M30" s="3"/>
      <c r="N30" s="7">
        <f t="shared" si="3"/>
        <v>0</v>
      </c>
      <c r="O30" s="12"/>
      <c r="P30" s="8">
        <v>5350</v>
      </c>
      <c r="Q30" s="3"/>
      <c r="R30" s="7">
        <f t="shared" si="4"/>
        <v>0</v>
      </c>
      <c r="S30" s="3"/>
      <c r="T30" s="8"/>
      <c r="U30" s="3"/>
      <c r="V30" s="7">
        <f t="shared" si="5"/>
        <v>0</v>
      </c>
      <c r="W30" s="3"/>
      <c r="X30" s="8">
        <f t="shared" si="6"/>
        <v>5350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51007.649999999994</v>
      </c>
      <c r="E31" s="2"/>
      <c r="F31" s="6">
        <f t="shared" si="0"/>
        <v>0</v>
      </c>
      <c r="G31" s="2"/>
      <c r="H31" s="2">
        <f>SUM(OSRRefH22_1x_0)</f>
        <v>37976.40501730769</v>
      </c>
      <c r="I31" s="2"/>
      <c r="J31" s="6">
        <f t="shared" si="1"/>
        <v>0</v>
      </c>
      <c r="K31" s="2"/>
      <c r="L31" s="2">
        <f t="shared" si="2"/>
        <v>13031.244982692304</v>
      </c>
      <c r="M31" s="2"/>
      <c r="N31" s="6">
        <f t="shared" si="3"/>
        <v>0.34314056258756809</v>
      </c>
      <c r="O31" s="14"/>
      <c r="P31" s="2">
        <f>SUM(OSRRefP22_1x_0)</f>
        <v>432429.32999999996</v>
      </c>
      <c r="Q31" s="2"/>
      <c r="R31" s="6">
        <f t="shared" si="4"/>
        <v>0</v>
      </c>
      <c r="S31" s="2"/>
      <c r="T31" s="2">
        <f>SUM(OSRRefT22_1x_0)</f>
        <v>421451.99815769226</v>
      </c>
      <c r="U31" s="2"/>
      <c r="V31" s="6">
        <f t="shared" si="5"/>
        <v>0</v>
      </c>
      <c r="W31" s="2"/>
      <c r="X31" s="2">
        <f t="shared" si="6"/>
        <v>10977.3318423077</v>
      </c>
      <c r="Y31" s="2"/>
      <c r="Z31" s="6">
        <f t="shared" si="7"/>
        <v>2.6046458173868654E-2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8">
        <v>7265.35</v>
      </c>
      <c r="E32" s="3"/>
      <c r="F32" s="7">
        <f t="shared" si="0"/>
        <v>0</v>
      </c>
      <c r="G32" s="3"/>
      <c r="H32" s="8">
        <v>4139.8076923076896</v>
      </c>
      <c r="I32" s="3"/>
      <c r="J32" s="7">
        <f t="shared" si="1"/>
        <v>0</v>
      </c>
      <c r="K32" s="3"/>
      <c r="L32" s="8">
        <f t="shared" si="2"/>
        <v>3125.5423076923107</v>
      </c>
      <c r="M32" s="3"/>
      <c r="N32" s="7">
        <f t="shared" si="3"/>
        <v>0.75499698053607223</v>
      </c>
      <c r="O32" s="12"/>
      <c r="P32" s="8">
        <v>40957.550000000003</v>
      </c>
      <c r="Q32" s="3"/>
      <c r="R32" s="7">
        <f t="shared" si="4"/>
        <v>0</v>
      </c>
      <c r="S32" s="3"/>
      <c r="T32" s="8">
        <v>36223.317307692298</v>
      </c>
      <c r="U32" s="3"/>
      <c r="V32" s="7">
        <f t="shared" si="5"/>
        <v>0</v>
      </c>
      <c r="W32" s="3"/>
      <c r="X32" s="8">
        <f t="shared" si="6"/>
        <v>4734.2326923077053</v>
      </c>
      <c r="Y32" s="3"/>
      <c r="Z32" s="7">
        <f t="shared" si="7"/>
        <v>0.13069572430635321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8520.02</v>
      </c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8520.02</v>
      </c>
      <c r="M33" s="3"/>
      <c r="N33" s="7">
        <f t="shared" si="3"/>
        <v>0</v>
      </c>
      <c r="O33" s="12"/>
      <c r="P33" s="8">
        <v>87552.49</v>
      </c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87552.49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8">
        <v>9379.74</v>
      </c>
      <c r="E35" s="3"/>
      <c r="F35" s="7">
        <f t="shared" si="0"/>
        <v>0</v>
      </c>
      <c r="G35" s="3"/>
      <c r="H35" s="8">
        <v>8417.7227999999996</v>
      </c>
      <c r="I35" s="3"/>
      <c r="J35" s="7">
        <f t="shared" si="1"/>
        <v>0</v>
      </c>
      <c r="K35" s="3"/>
      <c r="L35" s="8">
        <f t="shared" si="2"/>
        <v>962.01720000000023</v>
      </c>
      <c r="M35" s="3"/>
      <c r="N35" s="7">
        <f t="shared" si="3"/>
        <v>0.11428473268328583</v>
      </c>
      <c r="O35" s="12"/>
      <c r="P35" s="8">
        <v>60141.96</v>
      </c>
      <c r="Q35" s="3"/>
      <c r="R35" s="7">
        <f t="shared" si="4"/>
        <v>0</v>
      </c>
      <c r="S35" s="3"/>
      <c r="T35" s="8">
        <v>71690.184299999994</v>
      </c>
      <c r="U35" s="3"/>
      <c r="V35" s="7">
        <f t="shared" si="5"/>
        <v>0</v>
      </c>
      <c r="W35" s="3"/>
      <c r="X35" s="8">
        <f t="shared" si="6"/>
        <v>-11548.224299999994</v>
      </c>
      <c r="Y35" s="3"/>
      <c r="Z35" s="7">
        <f t="shared" si="7"/>
        <v>-0.1610851529084435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8">
        <v>3073.66</v>
      </c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3073.66</v>
      </c>
      <c r="M36" s="3"/>
      <c r="N36" s="7">
        <f t="shared" si="3"/>
        <v>0</v>
      </c>
      <c r="O36" s="12"/>
      <c r="P36" s="8">
        <v>23187.13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23187.13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8">
        <v>2310.4</v>
      </c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2310.4</v>
      </c>
      <c r="M37" s="3"/>
      <c r="N37" s="7">
        <f t="shared" si="3"/>
        <v>0</v>
      </c>
      <c r="O37" s="12"/>
      <c r="P37" s="8">
        <v>14280.37</v>
      </c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14280.37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18918.03</v>
      </c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18918.03</v>
      </c>
      <c r="M38" s="3"/>
      <c r="N38" s="7">
        <f t="shared" si="3"/>
        <v>0</v>
      </c>
      <c r="O38" s="12"/>
      <c r="P38" s="8">
        <v>193134.85</v>
      </c>
      <c r="Q38" s="3"/>
      <c r="R38" s="7">
        <f t="shared" si="4"/>
        <v>0</v>
      </c>
      <c r="S38" s="3"/>
      <c r="T38" s="8">
        <v>60209.13</v>
      </c>
      <c r="U38" s="3"/>
      <c r="V38" s="7">
        <f t="shared" si="5"/>
        <v>0</v>
      </c>
      <c r="W38" s="3"/>
      <c r="X38" s="8">
        <f t="shared" si="6"/>
        <v>132925.72</v>
      </c>
      <c r="Y38" s="3"/>
      <c r="Z38" s="7">
        <f t="shared" si="7"/>
        <v>2.2077336111649513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>
        <v>1540.45</v>
      </c>
      <c r="E39" s="3"/>
      <c r="F39" s="7">
        <f t="shared" si="0"/>
        <v>0</v>
      </c>
      <c r="G39" s="3"/>
      <c r="H39" s="8">
        <v>25418.874524999999</v>
      </c>
      <c r="I39" s="3"/>
      <c r="J39" s="7">
        <f t="shared" si="1"/>
        <v>0</v>
      </c>
      <c r="K39" s="3"/>
      <c r="L39" s="8">
        <f t="shared" si="2"/>
        <v>-23878.424524999999</v>
      </c>
      <c r="M39" s="3"/>
      <c r="N39" s="7">
        <f t="shared" si="3"/>
        <v>-0.93939739548716306</v>
      </c>
      <c r="O39" s="12"/>
      <c r="P39" s="8">
        <v>13174.98</v>
      </c>
      <c r="Q39" s="3"/>
      <c r="R39" s="7">
        <f t="shared" si="4"/>
        <v>0</v>
      </c>
      <c r="S39" s="3"/>
      <c r="T39" s="8">
        <v>253329.36655000001</v>
      </c>
      <c r="U39" s="3"/>
      <c r="V39" s="7">
        <f t="shared" si="5"/>
        <v>0</v>
      </c>
      <c r="W39" s="3"/>
      <c r="X39" s="8">
        <f t="shared" si="6"/>
        <v>-240154.38655</v>
      </c>
      <c r="Y39" s="3"/>
      <c r="Z39" s="7">
        <f t="shared" si="7"/>
        <v>-0.94799268565099559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SUM(OSRRefP22_2x_0)</f>
        <v>-366.38</v>
      </c>
      <c r="Q42" s="2"/>
      <c r="R42" s="6">
        <f t="shared" si="4"/>
        <v>0</v>
      </c>
      <c r="S42" s="2"/>
      <c r="T42" s="2">
        <f>SUM(OSRRefT22_2x_0)</f>
        <v>0</v>
      </c>
      <c r="U42" s="2"/>
      <c r="V42" s="6">
        <f t="shared" si="5"/>
        <v>0</v>
      </c>
      <c r="W42" s="2"/>
      <c r="X42" s="2">
        <f t="shared" si="6"/>
        <v>-366.38</v>
      </c>
      <c r="Y42" s="2"/>
      <c r="Z42" s="6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-366.38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-366.38</v>
      </c>
      <c r="Y43" s="3"/>
      <c r="Z43" s="7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","Bad Debts/Over/Short                              ")</f>
        <v xml:space="preserve">     Bad Debts/Over/Short                              </v>
      </c>
      <c r="C44" s="14"/>
      <c r="D44" s="2">
        <f>SUM(OSRRefD22_3x_0)</f>
        <v>-30.71</v>
      </c>
      <c r="E44" s="2"/>
      <c r="F44" s="6">
        <f t="shared" si="0"/>
        <v>0</v>
      </c>
      <c r="G44" s="2"/>
      <c r="H44" s="2">
        <f>SUM(OSRRefH22_3x_0)</f>
        <v>200</v>
      </c>
      <c r="I44" s="2"/>
      <c r="J44" s="6">
        <f t="shared" si="1"/>
        <v>0</v>
      </c>
      <c r="K44" s="2"/>
      <c r="L44" s="2">
        <f t="shared" si="2"/>
        <v>-230.71</v>
      </c>
      <c r="M44" s="2"/>
      <c r="N44" s="6">
        <f t="shared" si="3"/>
        <v>-1.1535500000000001</v>
      </c>
      <c r="O44" s="14"/>
      <c r="P44" s="2">
        <f>SUM(OSRRefP22_3x_0)</f>
        <v>141.75</v>
      </c>
      <c r="Q44" s="2"/>
      <c r="R44" s="6">
        <f t="shared" si="4"/>
        <v>0</v>
      </c>
      <c r="S44" s="2"/>
      <c r="T44" s="2">
        <f>SUM(OSRRefT22_3x_0)</f>
        <v>1600</v>
      </c>
      <c r="U44" s="2"/>
      <c r="V44" s="6">
        <f t="shared" si="5"/>
        <v>0</v>
      </c>
      <c r="W44" s="2"/>
      <c r="X44" s="2">
        <f t="shared" si="6"/>
        <v>-1458.25</v>
      </c>
      <c r="Y44" s="2"/>
      <c r="Z44" s="6">
        <f t="shared" si="7"/>
        <v>-0.91140624999999997</v>
      </c>
    </row>
    <row r="45" spans="1:26" s="70" customFormat="1" ht="15" hidden="1" customHeight="1" outlineLevel="2" x14ac:dyDescent="0.3">
      <c r="A45" s="26"/>
      <c r="B45" s="12" t="str">
        <f>CONCATENATE("          ","6272"," - ","CASH (OVER/SHORT)")</f>
        <v xml:space="preserve">          6272 - CASH (OVER/SHORT)</v>
      </c>
      <c r="C45" s="12"/>
      <c r="D45" s="8">
        <v>-30.71</v>
      </c>
      <c r="E45" s="3"/>
      <c r="F45" s="7">
        <f t="shared" si="0"/>
        <v>0</v>
      </c>
      <c r="G45" s="3"/>
      <c r="H45" s="8">
        <v>200</v>
      </c>
      <c r="I45" s="3"/>
      <c r="J45" s="7">
        <f t="shared" si="1"/>
        <v>0</v>
      </c>
      <c r="K45" s="3"/>
      <c r="L45" s="8">
        <f t="shared" si="2"/>
        <v>-230.71</v>
      </c>
      <c r="M45" s="3"/>
      <c r="N45" s="7">
        <f t="shared" si="3"/>
        <v>-1.1535500000000001</v>
      </c>
      <c r="O45" s="12"/>
      <c r="P45" s="8">
        <v>141.75</v>
      </c>
      <c r="Q45" s="3"/>
      <c r="R45" s="7">
        <f t="shared" si="4"/>
        <v>0</v>
      </c>
      <c r="S45" s="3"/>
      <c r="T45" s="8">
        <v>1600</v>
      </c>
      <c r="U45" s="3"/>
      <c r="V45" s="7">
        <f t="shared" si="5"/>
        <v>0</v>
      </c>
      <c r="W45" s="3"/>
      <c r="X45" s="8">
        <f t="shared" si="6"/>
        <v>-1458.25</v>
      </c>
      <c r="Y45" s="3"/>
      <c r="Z45" s="7">
        <f t="shared" si="7"/>
        <v>-0.91140624999999997</v>
      </c>
    </row>
    <row r="46" spans="1:26" s="69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SUM(OSRRefD22_4x_0)</f>
        <v>15209.56</v>
      </c>
      <c r="E46" s="2"/>
      <c r="F46" s="6">
        <f t="shared" si="0"/>
        <v>0</v>
      </c>
      <c r="G46" s="2"/>
      <c r="H46" s="2">
        <f>SUM(OSRRefH22_4x_0)</f>
        <v>8000</v>
      </c>
      <c r="I46" s="2"/>
      <c r="J46" s="6">
        <f t="shared" si="1"/>
        <v>0</v>
      </c>
      <c r="K46" s="2"/>
      <c r="L46" s="2">
        <f t="shared" si="2"/>
        <v>7209.5599999999995</v>
      </c>
      <c r="M46" s="2"/>
      <c r="N46" s="6">
        <f t="shared" si="3"/>
        <v>0.90119499999999997</v>
      </c>
      <c r="O46" s="14"/>
      <c r="P46" s="2">
        <f>SUM(OSRRefP22_4x_0)</f>
        <v>91018.61</v>
      </c>
      <c r="Q46" s="2"/>
      <c r="R46" s="6">
        <f t="shared" si="4"/>
        <v>0</v>
      </c>
      <c r="S46" s="2"/>
      <c r="T46" s="2">
        <f>SUM(OSRRefT22_4x_0)</f>
        <v>134300</v>
      </c>
      <c r="U46" s="2"/>
      <c r="V46" s="6">
        <f t="shared" si="5"/>
        <v>0</v>
      </c>
      <c r="W46" s="2"/>
      <c r="X46" s="2">
        <f t="shared" si="6"/>
        <v>-43281.39</v>
      </c>
      <c r="Y46" s="2"/>
      <c r="Z46" s="6">
        <f t="shared" si="7"/>
        <v>-0.32227393894266565</v>
      </c>
    </row>
    <row r="47" spans="1:26" s="70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8">
        <v>15209.56</v>
      </c>
      <c r="E47" s="3"/>
      <c r="F47" s="7">
        <f t="shared" si="0"/>
        <v>0</v>
      </c>
      <c r="G47" s="3"/>
      <c r="H47" s="8">
        <v>8000</v>
      </c>
      <c r="I47" s="3"/>
      <c r="J47" s="7">
        <f t="shared" si="1"/>
        <v>0</v>
      </c>
      <c r="K47" s="3"/>
      <c r="L47" s="8">
        <f t="shared" si="2"/>
        <v>7209.5599999999995</v>
      </c>
      <c r="M47" s="3"/>
      <c r="N47" s="7">
        <f t="shared" si="3"/>
        <v>0.90119499999999997</v>
      </c>
      <c r="O47" s="12"/>
      <c r="P47" s="8">
        <v>91018.61</v>
      </c>
      <c r="Q47" s="3"/>
      <c r="R47" s="7">
        <f t="shared" si="4"/>
        <v>0</v>
      </c>
      <c r="S47" s="3"/>
      <c r="T47" s="8">
        <v>134300</v>
      </c>
      <c r="U47" s="3"/>
      <c r="V47" s="7">
        <f t="shared" si="5"/>
        <v>0</v>
      </c>
      <c r="W47" s="3"/>
      <c r="X47" s="8">
        <f t="shared" si="6"/>
        <v>-43281.39</v>
      </c>
      <c r="Y47" s="3"/>
      <c r="Z47" s="7">
        <f t="shared" si="7"/>
        <v>-0.32227393894266565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27370.16</v>
      </c>
      <c r="E48" s="2"/>
      <c r="F48" s="6">
        <f t="shared" si="0"/>
        <v>0</v>
      </c>
      <c r="G48" s="2"/>
      <c r="H48" s="2">
        <f>SUM(OSRRefH22_5x_0)</f>
        <v>27249</v>
      </c>
      <c r="I48" s="2"/>
      <c r="J48" s="6">
        <f t="shared" si="1"/>
        <v>0</v>
      </c>
      <c r="K48" s="2"/>
      <c r="L48" s="2">
        <f t="shared" si="2"/>
        <v>121.15999999999985</v>
      </c>
      <c r="M48" s="2"/>
      <c r="N48" s="6">
        <f t="shared" si="3"/>
        <v>4.4464017028147769E-3</v>
      </c>
      <c r="O48" s="14"/>
      <c r="P48" s="2">
        <f>SUM(OSRRefP22_5x_0)</f>
        <v>238537.52000000002</v>
      </c>
      <c r="Q48" s="2"/>
      <c r="R48" s="6">
        <f t="shared" si="4"/>
        <v>0</v>
      </c>
      <c r="S48" s="2"/>
      <c r="T48" s="2">
        <f>SUM(OSRRefT22_5x_0)</f>
        <v>237569</v>
      </c>
      <c r="U48" s="2"/>
      <c r="V48" s="6">
        <f t="shared" si="5"/>
        <v>0</v>
      </c>
      <c r="W48" s="2"/>
      <c r="X48" s="2">
        <f t="shared" si="6"/>
        <v>968.52000000001863</v>
      </c>
      <c r="Y48" s="2"/>
      <c r="Z48" s="6">
        <f t="shared" si="7"/>
        <v>4.0767945312730983E-3</v>
      </c>
    </row>
    <row r="49" spans="1:26" s="70" customFormat="1" ht="15" hidden="1" customHeight="1" outlineLevel="2" x14ac:dyDescent="0.3">
      <c r="A49" s="26"/>
      <c r="B49" s="12" t="str">
        <f>CONCATENATE("          ","6321"," - ","BUILDING DEPRECIATION")</f>
        <v xml:space="preserve">          6321 - BUILDING DEPRECIATION</v>
      </c>
      <c r="C49" s="12"/>
      <c r="D49" s="8">
        <v>13321.71</v>
      </c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13321.71</v>
      </c>
      <c r="M49" s="3"/>
      <c r="N49" s="7">
        <f t="shared" si="3"/>
        <v>0</v>
      </c>
      <c r="O49" s="12"/>
      <c r="P49" s="8">
        <v>125832.42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125832.42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14048.45</v>
      </c>
      <c r="E50" s="3"/>
      <c r="F50" s="7">
        <f t="shared" si="0"/>
        <v>0</v>
      </c>
      <c r="G50" s="3"/>
      <c r="H50" s="8">
        <v>27249</v>
      </c>
      <c r="I50" s="3"/>
      <c r="J50" s="7">
        <f t="shared" si="1"/>
        <v>0</v>
      </c>
      <c r="K50" s="3"/>
      <c r="L50" s="8">
        <f t="shared" si="2"/>
        <v>-13200.55</v>
      </c>
      <c r="M50" s="3"/>
      <c r="N50" s="7">
        <f t="shared" si="3"/>
        <v>-0.48444163088553704</v>
      </c>
      <c r="O50" s="12"/>
      <c r="P50" s="8">
        <v>112705.1</v>
      </c>
      <c r="Q50" s="3"/>
      <c r="R50" s="7">
        <f t="shared" si="4"/>
        <v>0</v>
      </c>
      <c r="S50" s="3"/>
      <c r="T50" s="8">
        <v>237569</v>
      </c>
      <c r="U50" s="3"/>
      <c r="V50" s="7">
        <f t="shared" si="5"/>
        <v>0</v>
      </c>
      <c r="W50" s="3"/>
      <c r="X50" s="8">
        <f t="shared" si="6"/>
        <v>-124863.9</v>
      </c>
      <c r="Y50" s="3"/>
      <c r="Z50" s="7">
        <f t="shared" si="7"/>
        <v>-0.52559003910442859</v>
      </c>
    </row>
    <row r="51" spans="1:26" s="69" customFormat="1" ht="15" customHeight="1" outlineLevel="1" collapsed="1" x14ac:dyDescent="0.3">
      <c r="A51" s="25"/>
      <c r="B51" s="14" t="str">
        <f>CONCATENATE("     ","Discounts and Markdowns                           ")</f>
        <v xml:space="preserve">     Discounts and Markdowns                           </v>
      </c>
      <c r="C51" s="14"/>
      <c r="D51" s="2">
        <f>SUM(OSRRefD22_6x_0)</f>
        <v>-0.98</v>
      </c>
      <c r="E51" s="2"/>
      <c r="F51" s="6">
        <f t="shared" ref="F51:F82" si="8">IF(D$12=0,0,D51/D$12)</f>
        <v>0</v>
      </c>
      <c r="G51" s="2"/>
      <c r="H51" s="2">
        <f>SUM(OSRRefH22_6x_0)</f>
        <v>0</v>
      </c>
      <c r="I51" s="2"/>
      <c r="J51" s="6">
        <f t="shared" ref="J51:J82" si="9">IF(H$12=0,0,H51/H$12)</f>
        <v>0</v>
      </c>
      <c r="K51" s="2"/>
      <c r="L51" s="2">
        <f t="shared" ref="L51:L82" si="10">+D51-H51</f>
        <v>-0.98</v>
      </c>
      <c r="M51" s="2"/>
      <c r="N51" s="6">
        <f t="shared" ref="N51:N82" si="11">IF(H51=0,0,L51/H51)</f>
        <v>0</v>
      </c>
      <c r="O51" s="14"/>
      <c r="P51" s="2">
        <f>SUM(OSRRefP22_6x_0)</f>
        <v>2063.1999999999998</v>
      </c>
      <c r="Q51" s="2"/>
      <c r="R51" s="6">
        <f t="shared" ref="R51:R82" si="12">IF(P$12=0,0,P51/P$12)</f>
        <v>0</v>
      </c>
      <c r="S51" s="2"/>
      <c r="T51" s="2">
        <f>SUM(OSRRefT22_6x_0)</f>
        <v>0</v>
      </c>
      <c r="U51" s="2"/>
      <c r="V51" s="6">
        <f t="shared" ref="V51:V82" si="13">IF(T$12=0,0,T51/T$12)</f>
        <v>0</v>
      </c>
      <c r="W51" s="2"/>
      <c r="X51" s="2">
        <f t="shared" ref="X51:X82" si="14">+P51-T51</f>
        <v>2063.1999999999998</v>
      </c>
      <c r="Y51" s="2"/>
      <c r="Z51" s="6">
        <f t="shared" ref="Z51:Z82" si="15">IF(T51=0,0,X51/T51)</f>
        <v>0</v>
      </c>
    </row>
    <row r="52" spans="1:26" s="70" customFormat="1" ht="15" hidden="1" customHeight="1" outlineLevel="2" x14ac:dyDescent="0.3">
      <c r="A52" s="26"/>
      <c r="B52" s="12" t="str">
        <f>CONCATENATE("          ","6382"," - ","DISCOUNTS/MARK DOWNS")</f>
        <v xml:space="preserve">          6382 - DISCOUNTS/MARK DOWNS</v>
      </c>
      <c r="C52" s="12"/>
      <c r="D52" s="8"/>
      <c r="E52" s="3"/>
      <c r="F52" s="7">
        <f t="shared" si="8"/>
        <v>0</v>
      </c>
      <c r="G52" s="3"/>
      <c r="H52" s="8"/>
      <c r="I52" s="3"/>
      <c r="J52" s="7">
        <f t="shared" si="9"/>
        <v>0</v>
      </c>
      <c r="K52" s="3"/>
      <c r="L52" s="8">
        <f t="shared" si="10"/>
        <v>0</v>
      </c>
      <c r="M52" s="3"/>
      <c r="N52" s="7">
        <f t="shared" si="11"/>
        <v>0</v>
      </c>
      <c r="O52" s="12"/>
      <c r="P52" s="8">
        <v>2170</v>
      </c>
      <c r="Q52" s="3"/>
      <c r="R52" s="7">
        <f t="shared" si="12"/>
        <v>0</v>
      </c>
      <c r="S52" s="3"/>
      <c r="T52" s="8"/>
      <c r="U52" s="3"/>
      <c r="V52" s="7">
        <f t="shared" si="13"/>
        <v>0</v>
      </c>
      <c r="W52" s="3"/>
      <c r="X52" s="8">
        <f t="shared" si="14"/>
        <v>2170</v>
      </c>
      <c r="Y52" s="3"/>
      <c r="Z52" s="7">
        <f t="shared" si="15"/>
        <v>0</v>
      </c>
    </row>
    <row r="53" spans="1:26" s="70" customFormat="1" ht="15" hidden="1" customHeight="1" outlineLevel="2" x14ac:dyDescent="0.3">
      <c r="A53" s="26"/>
      <c r="B53" s="12" t="str">
        <f>CONCATENATE("          ","9175"," - ","EARNED DISCOUNTS")</f>
        <v xml:space="preserve">          9175 - EARNED DISCOUNTS</v>
      </c>
      <c r="C53" s="12"/>
      <c r="D53" s="8">
        <v>-0.98</v>
      </c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-0.98</v>
      </c>
      <c r="M53" s="3"/>
      <c r="N53" s="7">
        <f t="shared" si="11"/>
        <v>0</v>
      </c>
      <c r="O53" s="12"/>
      <c r="P53" s="8">
        <v>-106.8</v>
      </c>
      <c r="Q53" s="3"/>
      <c r="R53" s="7">
        <f t="shared" si="12"/>
        <v>0</v>
      </c>
      <c r="S53" s="3"/>
      <c r="T53" s="8"/>
      <c r="U53" s="3"/>
      <c r="V53" s="7">
        <f t="shared" si="13"/>
        <v>0</v>
      </c>
      <c r="W53" s="3"/>
      <c r="X53" s="8">
        <f t="shared" si="14"/>
        <v>-106.8</v>
      </c>
      <c r="Y53" s="3"/>
      <c r="Z53" s="7">
        <f t="shared" si="15"/>
        <v>0</v>
      </c>
    </row>
    <row r="54" spans="1:26" s="69" customFormat="1" ht="15" customHeight="1" outlineLevel="1" collapsed="1" x14ac:dyDescent="0.3">
      <c r="A54" s="25"/>
      <c r="B54" s="14" t="str">
        <f>CONCATENATE("     ","Donations                                         ")</f>
        <v xml:space="preserve">     Donations                                         </v>
      </c>
      <c r="C54" s="14"/>
      <c r="D54" s="2">
        <f>SUM(OSRRefD22_7x_0)</f>
        <v>2998.05</v>
      </c>
      <c r="E54" s="2"/>
      <c r="F54" s="6">
        <f t="shared" si="8"/>
        <v>0</v>
      </c>
      <c r="G54" s="2"/>
      <c r="H54" s="2">
        <f>SUM(OSRRefH22_7x_0)</f>
        <v>1250</v>
      </c>
      <c r="I54" s="2"/>
      <c r="J54" s="6">
        <f t="shared" si="9"/>
        <v>0</v>
      </c>
      <c r="K54" s="2"/>
      <c r="L54" s="2">
        <f t="shared" si="10"/>
        <v>1748.0500000000002</v>
      </c>
      <c r="M54" s="2"/>
      <c r="N54" s="6">
        <f t="shared" si="11"/>
        <v>1.3984400000000001</v>
      </c>
      <c r="O54" s="14"/>
      <c r="P54" s="2">
        <f>SUM(OSRRefP22_7x_0)</f>
        <v>5818.27</v>
      </c>
      <c r="Q54" s="2"/>
      <c r="R54" s="6">
        <f t="shared" si="12"/>
        <v>0</v>
      </c>
      <c r="S54" s="2"/>
      <c r="T54" s="2">
        <f>SUM(OSRRefT22_7x_0)</f>
        <v>10000</v>
      </c>
      <c r="U54" s="2"/>
      <c r="V54" s="6">
        <f t="shared" si="13"/>
        <v>0</v>
      </c>
      <c r="W54" s="2"/>
      <c r="X54" s="2">
        <f t="shared" si="14"/>
        <v>-4181.7299999999996</v>
      </c>
      <c r="Y54" s="2"/>
      <c r="Z54" s="6">
        <f t="shared" si="15"/>
        <v>-0.41817299999999996</v>
      </c>
    </row>
    <row r="55" spans="1:26" s="70" customFormat="1" ht="15" hidden="1" customHeight="1" outlineLevel="2" x14ac:dyDescent="0.3">
      <c r="A55" s="26"/>
      <c r="B55" s="12" t="str">
        <f>CONCATENATE("          ","6399"," - ","DONATION-ON CAMPUS")</f>
        <v xml:space="preserve">          6399 - DONATION-ON CAMPUS</v>
      </c>
      <c r="C55" s="12"/>
      <c r="D55" s="8">
        <v>2998.05</v>
      </c>
      <c r="E55" s="3"/>
      <c r="F55" s="7">
        <f t="shared" si="8"/>
        <v>0</v>
      </c>
      <c r="G55" s="3"/>
      <c r="H55" s="8">
        <v>1250</v>
      </c>
      <c r="I55" s="3"/>
      <c r="J55" s="7">
        <f t="shared" si="9"/>
        <v>0</v>
      </c>
      <c r="K55" s="3"/>
      <c r="L55" s="8">
        <f t="shared" si="10"/>
        <v>1748.0500000000002</v>
      </c>
      <c r="M55" s="3"/>
      <c r="N55" s="7">
        <f t="shared" si="11"/>
        <v>1.3984400000000001</v>
      </c>
      <c r="O55" s="12"/>
      <c r="P55" s="8">
        <v>5818.27</v>
      </c>
      <c r="Q55" s="3"/>
      <c r="R55" s="7">
        <f t="shared" si="12"/>
        <v>0</v>
      </c>
      <c r="S55" s="3"/>
      <c r="T55" s="8">
        <v>10000</v>
      </c>
      <c r="U55" s="3"/>
      <c r="V55" s="7">
        <f t="shared" si="13"/>
        <v>0</v>
      </c>
      <c r="W55" s="3"/>
      <c r="X55" s="8">
        <f t="shared" si="14"/>
        <v>-4181.7299999999996</v>
      </c>
      <c r="Y55" s="3"/>
      <c r="Z55" s="7">
        <f t="shared" si="15"/>
        <v>-0.41817299999999996</v>
      </c>
    </row>
    <row r="56" spans="1:26" s="69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SUM(OSRRefD22_8x_0)</f>
        <v>0</v>
      </c>
      <c r="E56" s="2"/>
      <c r="F56" s="6">
        <f t="shared" si="8"/>
        <v>0</v>
      </c>
      <c r="G56" s="2"/>
      <c r="H56" s="2">
        <f>SUM(OSRRefH22_8x_0)</f>
        <v>100</v>
      </c>
      <c r="I56" s="2"/>
      <c r="J56" s="6">
        <f t="shared" si="9"/>
        <v>0</v>
      </c>
      <c r="K56" s="2"/>
      <c r="L56" s="2">
        <f t="shared" si="10"/>
        <v>-100</v>
      </c>
      <c r="M56" s="2"/>
      <c r="N56" s="6">
        <f t="shared" si="11"/>
        <v>-1</v>
      </c>
      <c r="O56" s="14"/>
      <c r="P56" s="2">
        <f>SUM(OSRRefP22_8x_0)</f>
        <v>4028.75</v>
      </c>
      <c r="Q56" s="2"/>
      <c r="R56" s="6">
        <f t="shared" si="12"/>
        <v>0</v>
      </c>
      <c r="S56" s="2"/>
      <c r="T56" s="2">
        <f>SUM(OSRRefT22_8x_0)</f>
        <v>800</v>
      </c>
      <c r="U56" s="2"/>
      <c r="V56" s="6">
        <f t="shared" si="13"/>
        <v>0</v>
      </c>
      <c r="W56" s="2"/>
      <c r="X56" s="2">
        <f t="shared" si="14"/>
        <v>3228.75</v>
      </c>
      <c r="Y56" s="2"/>
      <c r="Z56" s="6">
        <f t="shared" si="15"/>
        <v>4.0359375000000002</v>
      </c>
    </row>
    <row r="57" spans="1:26" s="70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8"/>
      <c r="E57" s="3"/>
      <c r="F57" s="7">
        <f t="shared" si="8"/>
        <v>0</v>
      </c>
      <c r="G57" s="3"/>
      <c r="H57" s="8">
        <v>100</v>
      </c>
      <c r="I57" s="3"/>
      <c r="J57" s="7">
        <f t="shared" si="9"/>
        <v>0</v>
      </c>
      <c r="K57" s="3"/>
      <c r="L57" s="8">
        <f t="shared" si="10"/>
        <v>-100</v>
      </c>
      <c r="M57" s="3"/>
      <c r="N57" s="7">
        <f t="shared" si="11"/>
        <v>-1</v>
      </c>
      <c r="O57" s="12"/>
      <c r="P57" s="8">
        <v>4028.75</v>
      </c>
      <c r="Q57" s="3"/>
      <c r="R57" s="7">
        <f t="shared" si="12"/>
        <v>0</v>
      </c>
      <c r="S57" s="3"/>
      <c r="T57" s="8">
        <v>800</v>
      </c>
      <c r="U57" s="3"/>
      <c r="V57" s="7">
        <f t="shared" si="13"/>
        <v>0</v>
      </c>
      <c r="W57" s="3"/>
      <c r="X57" s="8">
        <f t="shared" si="14"/>
        <v>3228.75</v>
      </c>
      <c r="Y57" s="3"/>
      <c r="Z57" s="7">
        <f t="shared" si="15"/>
        <v>4.0359375000000002</v>
      </c>
    </row>
    <row r="58" spans="1:26" s="69" customFormat="1" ht="15" customHeight="1" outlineLevel="1" collapsed="1" x14ac:dyDescent="0.3">
      <c r="A58" s="25"/>
      <c r="B58" s="14" t="str">
        <f>CONCATENATE("     ","Equipment Rental                                  ")</f>
        <v xml:space="preserve">     Equipment Rental                                  </v>
      </c>
      <c r="C58" s="14"/>
      <c r="D58" s="2">
        <f>SUM(OSRRefD22_9x_0)</f>
        <v>91.26</v>
      </c>
      <c r="E58" s="2"/>
      <c r="F58" s="6">
        <f t="shared" si="8"/>
        <v>0</v>
      </c>
      <c r="G58" s="2"/>
      <c r="H58" s="2">
        <f>SUM(OSRRefH22_9x_0)</f>
        <v>300</v>
      </c>
      <c r="I58" s="2"/>
      <c r="J58" s="6">
        <f t="shared" si="9"/>
        <v>0</v>
      </c>
      <c r="K58" s="2"/>
      <c r="L58" s="2">
        <f t="shared" si="10"/>
        <v>-208.74</v>
      </c>
      <c r="M58" s="2"/>
      <c r="N58" s="6">
        <f t="shared" si="11"/>
        <v>-0.69580000000000009</v>
      </c>
      <c r="O58" s="14"/>
      <c r="P58" s="2">
        <f>SUM(OSRRefP22_9x_0)</f>
        <v>2112.73</v>
      </c>
      <c r="Q58" s="2"/>
      <c r="R58" s="6">
        <f t="shared" si="12"/>
        <v>0</v>
      </c>
      <c r="S58" s="2"/>
      <c r="T58" s="2">
        <f>SUM(OSRRefT22_9x_0)</f>
        <v>2400</v>
      </c>
      <c r="U58" s="2"/>
      <c r="V58" s="6">
        <f t="shared" si="13"/>
        <v>0</v>
      </c>
      <c r="W58" s="2"/>
      <c r="X58" s="2">
        <f t="shared" si="14"/>
        <v>-287.27</v>
      </c>
      <c r="Y58" s="2"/>
      <c r="Z58" s="6">
        <f t="shared" si="15"/>
        <v>-0.11969583333333332</v>
      </c>
    </row>
    <row r="59" spans="1:26" s="70" customFormat="1" ht="15" hidden="1" customHeight="1" outlineLevel="2" x14ac:dyDescent="0.3">
      <c r="A59" s="26"/>
      <c r="B59" s="12" t="str">
        <f>CONCATENATE("          ","6351"," - ","EQUIPMENT RENTAL")</f>
        <v xml:space="preserve">          6351 - EQUIPMENT RENTAL</v>
      </c>
      <c r="C59" s="12"/>
      <c r="D59" s="8">
        <v>91.26</v>
      </c>
      <c r="E59" s="3"/>
      <c r="F59" s="7">
        <f t="shared" si="8"/>
        <v>0</v>
      </c>
      <c r="G59" s="3"/>
      <c r="H59" s="8">
        <v>300</v>
      </c>
      <c r="I59" s="3"/>
      <c r="J59" s="7">
        <f t="shared" si="9"/>
        <v>0</v>
      </c>
      <c r="K59" s="3"/>
      <c r="L59" s="8">
        <f t="shared" si="10"/>
        <v>-208.74</v>
      </c>
      <c r="M59" s="3"/>
      <c r="N59" s="7">
        <f t="shared" si="11"/>
        <v>-0.69580000000000009</v>
      </c>
      <c r="O59" s="12"/>
      <c r="P59" s="8">
        <v>2112.73</v>
      </c>
      <c r="Q59" s="3"/>
      <c r="R59" s="7">
        <f t="shared" si="12"/>
        <v>0</v>
      </c>
      <c r="S59" s="3"/>
      <c r="T59" s="8">
        <v>2400</v>
      </c>
      <c r="U59" s="3"/>
      <c r="V59" s="7">
        <f t="shared" si="13"/>
        <v>0</v>
      </c>
      <c r="W59" s="3"/>
      <c r="X59" s="8">
        <f t="shared" si="14"/>
        <v>-287.27</v>
      </c>
      <c r="Y59" s="3"/>
      <c r="Z59" s="7">
        <f t="shared" si="15"/>
        <v>-0.11969583333333332</v>
      </c>
    </row>
    <row r="60" spans="1:26" s="69" customFormat="1" ht="15" customHeight="1" outlineLevel="1" collapsed="1" x14ac:dyDescent="0.3">
      <c r="A60" s="25"/>
      <c r="B60" s="14" t="str">
        <f>CONCATENATE("     ","Freight out/Postage                               ")</f>
        <v xml:space="preserve">     Freight out/Postage                               </v>
      </c>
      <c r="C60" s="14"/>
      <c r="D60" s="2">
        <f>SUM(OSRRefD22_10x_0)</f>
        <v>15.95</v>
      </c>
      <c r="E60" s="2"/>
      <c r="F60" s="6">
        <f t="shared" si="8"/>
        <v>0</v>
      </c>
      <c r="G60" s="2"/>
      <c r="H60" s="2">
        <f>SUM(OSRRefH22_10x_0)</f>
        <v>100</v>
      </c>
      <c r="I60" s="2"/>
      <c r="J60" s="6">
        <f t="shared" si="9"/>
        <v>0</v>
      </c>
      <c r="K60" s="2"/>
      <c r="L60" s="2">
        <f t="shared" si="10"/>
        <v>-84.05</v>
      </c>
      <c r="M60" s="2"/>
      <c r="N60" s="6">
        <f t="shared" si="11"/>
        <v>-0.84050000000000002</v>
      </c>
      <c r="O60" s="14"/>
      <c r="P60" s="2">
        <f>SUM(OSRRefP22_10x_0)</f>
        <v>11248.18</v>
      </c>
      <c r="Q60" s="2"/>
      <c r="R60" s="6">
        <f t="shared" si="12"/>
        <v>0</v>
      </c>
      <c r="S60" s="2"/>
      <c r="T60" s="2">
        <f>SUM(OSRRefT22_10x_0)</f>
        <v>800</v>
      </c>
      <c r="U60" s="2"/>
      <c r="V60" s="6">
        <f t="shared" si="13"/>
        <v>0</v>
      </c>
      <c r="W60" s="2"/>
      <c r="X60" s="2">
        <f t="shared" si="14"/>
        <v>10448.18</v>
      </c>
      <c r="Y60" s="2"/>
      <c r="Z60" s="6">
        <f t="shared" si="15"/>
        <v>13.060225000000001</v>
      </c>
    </row>
    <row r="61" spans="1:26" s="70" customFormat="1" ht="15" hidden="1" customHeight="1" outlineLevel="2" x14ac:dyDescent="0.3">
      <c r="A61" s="26"/>
      <c r="B61" s="12" t="str">
        <f>CONCATENATE("          ","6307"," - ","POSTAGE")</f>
        <v xml:space="preserve">          6307 - POSTAGE</v>
      </c>
      <c r="C61" s="12"/>
      <c r="D61" s="8">
        <v>15.95</v>
      </c>
      <c r="E61" s="3"/>
      <c r="F61" s="7">
        <f t="shared" si="8"/>
        <v>0</v>
      </c>
      <c r="G61" s="3"/>
      <c r="H61" s="8">
        <v>100</v>
      </c>
      <c r="I61" s="3"/>
      <c r="J61" s="7">
        <f t="shared" si="9"/>
        <v>0</v>
      </c>
      <c r="K61" s="3"/>
      <c r="L61" s="8">
        <f t="shared" si="10"/>
        <v>-84.05</v>
      </c>
      <c r="M61" s="3"/>
      <c r="N61" s="7">
        <f t="shared" si="11"/>
        <v>-0.84050000000000002</v>
      </c>
      <c r="O61" s="12"/>
      <c r="P61" s="8">
        <v>11248.18</v>
      </c>
      <c r="Q61" s="3"/>
      <c r="R61" s="7">
        <f t="shared" si="12"/>
        <v>0</v>
      </c>
      <c r="S61" s="3"/>
      <c r="T61" s="8">
        <v>800</v>
      </c>
      <c r="U61" s="3"/>
      <c r="V61" s="7">
        <f t="shared" si="13"/>
        <v>0</v>
      </c>
      <c r="W61" s="3"/>
      <c r="X61" s="8">
        <f t="shared" si="14"/>
        <v>10448.18</v>
      </c>
      <c r="Y61" s="3"/>
      <c r="Z61" s="7">
        <f t="shared" si="15"/>
        <v>13.060225000000001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SUM(OSRRefD22_11x_0)</f>
        <v>267.05</v>
      </c>
      <c r="E62" s="2"/>
      <c r="F62" s="6">
        <f t="shared" si="8"/>
        <v>0</v>
      </c>
      <c r="G62" s="2"/>
      <c r="H62" s="2">
        <f>SUM(OSRRefH22_11x_0)</f>
        <v>200</v>
      </c>
      <c r="I62" s="2"/>
      <c r="J62" s="6">
        <f t="shared" si="9"/>
        <v>0</v>
      </c>
      <c r="K62" s="2"/>
      <c r="L62" s="2">
        <f t="shared" si="10"/>
        <v>67.050000000000011</v>
      </c>
      <c r="M62" s="2"/>
      <c r="N62" s="6">
        <f t="shared" si="11"/>
        <v>0.33525000000000005</v>
      </c>
      <c r="O62" s="14"/>
      <c r="P62" s="2">
        <f>SUM(OSRRefP22_11x_0)</f>
        <v>2823.8</v>
      </c>
      <c r="Q62" s="2"/>
      <c r="R62" s="6">
        <f t="shared" si="12"/>
        <v>0</v>
      </c>
      <c r="S62" s="2"/>
      <c r="T62" s="2">
        <f>SUM(OSRRefT22_11x_0)</f>
        <v>1600</v>
      </c>
      <c r="U62" s="2"/>
      <c r="V62" s="6">
        <f t="shared" si="13"/>
        <v>0</v>
      </c>
      <c r="W62" s="2"/>
      <c r="X62" s="2">
        <f t="shared" si="14"/>
        <v>1223.8000000000002</v>
      </c>
      <c r="Y62" s="2"/>
      <c r="Z62" s="6">
        <f t="shared" si="15"/>
        <v>0.76487500000000008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8">
        <v>267.05</v>
      </c>
      <c r="E63" s="3"/>
      <c r="F63" s="7">
        <f t="shared" si="8"/>
        <v>0</v>
      </c>
      <c r="G63" s="3"/>
      <c r="H63" s="8">
        <v>200</v>
      </c>
      <c r="I63" s="3"/>
      <c r="J63" s="7">
        <f t="shared" si="9"/>
        <v>0</v>
      </c>
      <c r="K63" s="3"/>
      <c r="L63" s="8">
        <f t="shared" si="10"/>
        <v>67.050000000000011</v>
      </c>
      <c r="M63" s="3"/>
      <c r="N63" s="7">
        <f t="shared" si="11"/>
        <v>0.33525000000000005</v>
      </c>
      <c r="O63" s="12"/>
      <c r="P63" s="8">
        <v>2823.8</v>
      </c>
      <c r="Q63" s="3"/>
      <c r="R63" s="7">
        <f t="shared" si="12"/>
        <v>0</v>
      </c>
      <c r="S63" s="3"/>
      <c r="T63" s="8">
        <v>1600</v>
      </c>
      <c r="U63" s="3"/>
      <c r="V63" s="7">
        <f t="shared" si="13"/>
        <v>0</v>
      </c>
      <c r="W63" s="3"/>
      <c r="X63" s="8">
        <f t="shared" si="14"/>
        <v>1223.8000000000002</v>
      </c>
      <c r="Y63" s="3"/>
      <c r="Z63" s="7">
        <f t="shared" si="15"/>
        <v>0.76487500000000008</v>
      </c>
    </row>
    <row r="64" spans="1:26" s="69" customFormat="1" ht="15" customHeight="1" outlineLevel="1" collapsed="1" x14ac:dyDescent="0.3">
      <c r="A64" s="25"/>
      <c r="B64" s="14" t="str">
        <f>CONCATENATE("     ","Insurance                                         ")</f>
        <v xml:space="preserve">     Insurance                                         </v>
      </c>
      <c r="C64" s="14"/>
      <c r="D64" s="2">
        <f>SUM(OSRRefD22_12x_0)</f>
        <v>5275.49</v>
      </c>
      <c r="E64" s="2"/>
      <c r="F64" s="6">
        <f t="shared" si="8"/>
        <v>0</v>
      </c>
      <c r="G64" s="2"/>
      <c r="H64" s="2">
        <f>SUM(OSRRefH22_12x_0)</f>
        <v>5200</v>
      </c>
      <c r="I64" s="2"/>
      <c r="J64" s="6">
        <f t="shared" si="9"/>
        <v>0</v>
      </c>
      <c r="K64" s="2"/>
      <c r="L64" s="2">
        <f t="shared" si="10"/>
        <v>75.489999999999782</v>
      </c>
      <c r="M64" s="2"/>
      <c r="N64" s="6">
        <f t="shared" si="11"/>
        <v>1.4517307692307651E-2</v>
      </c>
      <c r="O64" s="14"/>
      <c r="P64" s="2">
        <f>SUM(OSRRefP22_12x_0)</f>
        <v>42203.92</v>
      </c>
      <c r="Q64" s="2"/>
      <c r="R64" s="6">
        <f t="shared" si="12"/>
        <v>0</v>
      </c>
      <c r="S64" s="2"/>
      <c r="T64" s="2">
        <f>SUM(OSRRefT22_12x_0)</f>
        <v>41600</v>
      </c>
      <c r="U64" s="2"/>
      <c r="V64" s="6">
        <f t="shared" si="13"/>
        <v>0</v>
      </c>
      <c r="W64" s="2"/>
      <c r="X64" s="2">
        <f t="shared" si="14"/>
        <v>603.91999999999825</v>
      </c>
      <c r="Y64" s="2"/>
      <c r="Z64" s="6">
        <f t="shared" si="15"/>
        <v>1.4517307692307651E-2</v>
      </c>
    </row>
    <row r="65" spans="1:26" s="70" customFormat="1" ht="15" hidden="1" customHeight="1" outlineLevel="2" x14ac:dyDescent="0.3">
      <c r="A65" s="26"/>
      <c r="B65" s="12" t="str">
        <f>CONCATENATE("          ","6314"," - ","LIABILITY INSURANCE")</f>
        <v xml:space="preserve">          6314 - LIABILITY INSURANCE</v>
      </c>
      <c r="C65" s="12"/>
      <c r="D65" s="8">
        <v>5275.49</v>
      </c>
      <c r="E65" s="3"/>
      <c r="F65" s="7">
        <f t="shared" si="8"/>
        <v>0</v>
      </c>
      <c r="G65" s="3"/>
      <c r="H65" s="8">
        <v>5200</v>
      </c>
      <c r="I65" s="3"/>
      <c r="J65" s="7">
        <f t="shared" si="9"/>
        <v>0</v>
      </c>
      <c r="K65" s="3"/>
      <c r="L65" s="8">
        <f t="shared" si="10"/>
        <v>75.489999999999782</v>
      </c>
      <c r="M65" s="3"/>
      <c r="N65" s="7">
        <f t="shared" si="11"/>
        <v>1.4517307692307651E-2</v>
      </c>
      <c r="O65" s="12"/>
      <c r="P65" s="8">
        <v>42203.92</v>
      </c>
      <c r="Q65" s="3"/>
      <c r="R65" s="7">
        <f t="shared" si="12"/>
        <v>0</v>
      </c>
      <c r="S65" s="3"/>
      <c r="T65" s="8">
        <v>41600</v>
      </c>
      <c r="U65" s="3"/>
      <c r="V65" s="7">
        <f t="shared" si="13"/>
        <v>0</v>
      </c>
      <c r="W65" s="3"/>
      <c r="X65" s="8">
        <f t="shared" si="14"/>
        <v>603.91999999999825</v>
      </c>
      <c r="Y65" s="3"/>
      <c r="Z65" s="7">
        <f t="shared" si="15"/>
        <v>1.4517307692307651E-2</v>
      </c>
    </row>
    <row r="66" spans="1:26" s="69" customFormat="1" ht="15" customHeight="1" outlineLevel="1" collapsed="1" x14ac:dyDescent="0.3">
      <c r="A66" s="25"/>
      <c r="B66" s="14" t="str">
        <f>CONCATENATE("     ","Professional Services                             ")</f>
        <v xml:space="preserve">     Professional Services                             </v>
      </c>
      <c r="C66" s="14"/>
      <c r="D66" s="2">
        <f>SUM(OSRRefD22_13x_0)</f>
        <v>0</v>
      </c>
      <c r="E66" s="2"/>
      <c r="F66" s="6">
        <f t="shared" si="8"/>
        <v>0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0</v>
      </c>
      <c r="M66" s="2"/>
      <c r="N66" s="6">
        <f t="shared" si="11"/>
        <v>0</v>
      </c>
      <c r="O66" s="14"/>
      <c r="P66" s="2">
        <f>SUM(OSRRefP22_13x_0)</f>
        <v>7517.43</v>
      </c>
      <c r="Q66" s="2"/>
      <c r="R66" s="6">
        <f t="shared" si="12"/>
        <v>0</v>
      </c>
      <c r="S66" s="2"/>
      <c r="T66" s="2">
        <f>SUM(OSRRefT22_13x_0)</f>
        <v>0</v>
      </c>
      <c r="U66" s="2"/>
      <c r="V66" s="6">
        <f t="shared" si="13"/>
        <v>0</v>
      </c>
      <c r="W66" s="2"/>
      <c r="X66" s="2">
        <f t="shared" si="14"/>
        <v>7517.43</v>
      </c>
      <c r="Y66" s="2"/>
      <c r="Z66" s="6">
        <f t="shared" si="15"/>
        <v>0</v>
      </c>
    </row>
    <row r="67" spans="1:26" s="70" customFormat="1" ht="15" hidden="1" customHeight="1" outlineLevel="2" x14ac:dyDescent="0.3">
      <c r="A67" s="26"/>
      <c r="B67" s="12" t="str">
        <f>CONCATENATE("          ","6336"," - ","PROFESSIONAL SERVICES")</f>
        <v xml:space="preserve">          6336 - PROFESSIONAL SERVICES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7517.43</v>
      </c>
      <c r="Q67" s="3"/>
      <c r="R67" s="7">
        <f t="shared" si="12"/>
        <v>0</v>
      </c>
      <c r="S67" s="3"/>
      <c r="T67" s="8"/>
      <c r="U67" s="3"/>
      <c r="V67" s="7">
        <f t="shared" si="13"/>
        <v>0</v>
      </c>
      <c r="W67" s="3"/>
      <c r="X67" s="8">
        <f t="shared" si="14"/>
        <v>7517.43</v>
      </c>
      <c r="Y67" s="3"/>
      <c r="Z67" s="7">
        <f t="shared" si="15"/>
        <v>0</v>
      </c>
    </row>
    <row r="68" spans="1:26" s="69" customFormat="1" ht="15" customHeight="1" outlineLevel="1" collapsed="1" x14ac:dyDescent="0.3">
      <c r="A68" s="25"/>
      <c r="B68" s="14" t="str">
        <f>CONCATENATE("     ","Rent                                              ")</f>
        <v xml:space="preserve">     Rent                                              </v>
      </c>
      <c r="C68" s="14"/>
      <c r="D68" s="2">
        <f>SUM(OSRRefD22_14x_0)</f>
        <v>-800</v>
      </c>
      <c r="E68" s="2"/>
      <c r="F68" s="6">
        <f t="shared" si="8"/>
        <v>0</v>
      </c>
      <c r="G68" s="2"/>
      <c r="H68" s="2">
        <f>SUM(OSRRefH22_14x_0)</f>
        <v>-800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SUM(OSRRefP22_14x_0)</f>
        <v>-6400</v>
      </c>
      <c r="Q68" s="2"/>
      <c r="R68" s="6">
        <f t="shared" si="12"/>
        <v>0</v>
      </c>
      <c r="S68" s="2"/>
      <c r="T68" s="2">
        <f>SUM(OSRRefT22_14x_0)</f>
        <v>-6400</v>
      </c>
      <c r="U68" s="2"/>
      <c r="V68" s="6">
        <f t="shared" si="13"/>
        <v>0</v>
      </c>
      <c r="W68" s="2"/>
      <c r="X68" s="2">
        <f t="shared" si="14"/>
        <v>0</v>
      </c>
      <c r="Y68" s="2"/>
      <c r="Z68" s="6">
        <f t="shared" si="15"/>
        <v>0</v>
      </c>
    </row>
    <row r="69" spans="1:26" s="70" customFormat="1" ht="15" hidden="1" customHeight="1" outlineLevel="2" x14ac:dyDescent="0.3">
      <c r="A69" s="26"/>
      <c r="B69" s="12" t="str">
        <f>CONCATENATE("          ","6273"," - ","RENT")</f>
        <v xml:space="preserve">          6273 - RENT</v>
      </c>
      <c r="C69" s="12"/>
      <c r="D69" s="8">
        <v>-800</v>
      </c>
      <c r="E69" s="3"/>
      <c r="F69" s="7">
        <f t="shared" si="8"/>
        <v>0</v>
      </c>
      <c r="G69" s="3"/>
      <c r="H69" s="8">
        <v>-800</v>
      </c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-6400</v>
      </c>
      <c r="Q69" s="3"/>
      <c r="R69" s="7">
        <f t="shared" si="12"/>
        <v>0</v>
      </c>
      <c r="S69" s="3"/>
      <c r="T69" s="8">
        <v>-6400</v>
      </c>
      <c r="U69" s="3"/>
      <c r="V69" s="7">
        <f t="shared" si="13"/>
        <v>0</v>
      </c>
      <c r="W69" s="3"/>
      <c r="X69" s="8">
        <f t="shared" si="14"/>
        <v>0</v>
      </c>
      <c r="Y69" s="3"/>
      <c r="Z69" s="7">
        <f t="shared" si="15"/>
        <v>0</v>
      </c>
    </row>
    <row r="70" spans="1:26" s="69" customFormat="1" ht="15" customHeight="1" outlineLevel="1" collapsed="1" x14ac:dyDescent="0.3">
      <c r="A70" s="25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SUM(OSRRefD22_15x_0)</f>
        <v>3337.9</v>
      </c>
      <c r="E70" s="2"/>
      <c r="F70" s="6">
        <f t="shared" si="8"/>
        <v>0</v>
      </c>
      <c r="G70" s="2"/>
      <c r="H70" s="2">
        <f>SUM(OSRRefH22_15x_0)</f>
        <v>20750</v>
      </c>
      <c r="I70" s="2"/>
      <c r="J70" s="6">
        <f t="shared" si="9"/>
        <v>0</v>
      </c>
      <c r="K70" s="2"/>
      <c r="L70" s="2">
        <f t="shared" si="10"/>
        <v>-17412.099999999999</v>
      </c>
      <c r="M70" s="2"/>
      <c r="N70" s="6">
        <f t="shared" si="11"/>
        <v>-0.83913734939759033</v>
      </c>
      <c r="O70" s="14"/>
      <c r="P70" s="2">
        <f>SUM(OSRRefP22_15x_0)</f>
        <v>82796.12</v>
      </c>
      <c r="Q70" s="2"/>
      <c r="R70" s="6">
        <f t="shared" si="12"/>
        <v>0</v>
      </c>
      <c r="S70" s="2"/>
      <c r="T70" s="2">
        <f>SUM(OSRRefT22_15x_0)</f>
        <v>91020</v>
      </c>
      <c r="U70" s="2"/>
      <c r="V70" s="6">
        <f t="shared" si="13"/>
        <v>0</v>
      </c>
      <c r="W70" s="2"/>
      <c r="X70" s="2">
        <f t="shared" si="14"/>
        <v>-8223.8800000000047</v>
      </c>
      <c r="Y70" s="2"/>
      <c r="Z70" s="6">
        <f t="shared" si="15"/>
        <v>-9.0352450010986643E-2</v>
      </c>
    </row>
    <row r="71" spans="1:26" s="70" customFormat="1" ht="15" hidden="1" customHeight="1" outlineLevel="2" x14ac:dyDescent="0.3">
      <c r="A71" s="26"/>
      <c r="B71" s="12" t="str">
        <f>CONCATENATE("          ","6371"," - ","COMPUTER SOFTWARE MAINTENANCE")</f>
        <v xml:space="preserve">          6371 - COMPUTER SOFTWARE MAINTENANCE</v>
      </c>
      <c r="C71" s="12"/>
      <c r="D71" s="8"/>
      <c r="E71" s="3"/>
      <c r="F71" s="7">
        <f t="shared" si="8"/>
        <v>0</v>
      </c>
      <c r="G71" s="3"/>
      <c r="H71" s="8">
        <v>1000</v>
      </c>
      <c r="I71" s="3"/>
      <c r="J71" s="7">
        <f t="shared" si="9"/>
        <v>0</v>
      </c>
      <c r="K71" s="3"/>
      <c r="L71" s="8">
        <f t="shared" si="10"/>
        <v>-1000</v>
      </c>
      <c r="M71" s="3"/>
      <c r="N71" s="7">
        <f t="shared" si="11"/>
        <v>-1</v>
      </c>
      <c r="O71" s="12"/>
      <c r="P71" s="8">
        <v>56736</v>
      </c>
      <c r="Q71" s="3"/>
      <c r="R71" s="7">
        <f t="shared" si="12"/>
        <v>0</v>
      </c>
      <c r="S71" s="3"/>
      <c r="T71" s="8">
        <v>47000</v>
      </c>
      <c r="U71" s="3"/>
      <c r="V71" s="7">
        <f t="shared" si="13"/>
        <v>0</v>
      </c>
      <c r="W71" s="3"/>
      <c r="X71" s="8">
        <f t="shared" si="14"/>
        <v>9736</v>
      </c>
      <c r="Y71" s="3"/>
      <c r="Z71" s="7">
        <f t="shared" si="15"/>
        <v>0.20714893617021277</v>
      </c>
    </row>
    <row r="72" spans="1:26" s="70" customFormat="1" ht="15" hidden="1" customHeight="1" outlineLevel="2" x14ac:dyDescent="0.3">
      <c r="A72" s="26"/>
      <c r="B72" s="12" t="str">
        <f>CONCATENATE("          ","6372"," - ","COMPUTER HARDWARE MAINTENANCE")</f>
        <v xml:space="preserve">          6372 - COMPUTER HARDWARE MAINTENANCE</v>
      </c>
      <c r="C72" s="12"/>
      <c r="D72" s="8"/>
      <c r="E72" s="3"/>
      <c r="F72" s="7">
        <f t="shared" si="8"/>
        <v>0</v>
      </c>
      <c r="G72" s="3"/>
      <c r="H72" s="8">
        <v>3750</v>
      </c>
      <c r="I72" s="3"/>
      <c r="J72" s="7">
        <f t="shared" si="9"/>
        <v>0</v>
      </c>
      <c r="K72" s="3"/>
      <c r="L72" s="8">
        <f t="shared" si="10"/>
        <v>-3750</v>
      </c>
      <c r="M72" s="3"/>
      <c r="N72" s="7">
        <f t="shared" si="11"/>
        <v>-1</v>
      </c>
      <c r="O72" s="12"/>
      <c r="P72" s="8"/>
      <c r="Q72" s="3"/>
      <c r="R72" s="7">
        <f t="shared" si="12"/>
        <v>0</v>
      </c>
      <c r="S72" s="3"/>
      <c r="T72" s="8">
        <v>26620</v>
      </c>
      <c r="U72" s="3"/>
      <c r="V72" s="7">
        <f t="shared" si="13"/>
        <v>0</v>
      </c>
      <c r="W72" s="3"/>
      <c r="X72" s="8">
        <f t="shared" si="14"/>
        <v>-26620</v>
      </c>
      <c r="Y72" s="3"/>
      <c r="Z72" s="7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8">
        <v>1126.33</v>
      </c>
      <c r="E73" s="3"/>
      <c r="F73" s="7">
        <f t="shared" si="8"/>
        <v>0</v>
      </c>
      <c r="G73" s="3"/>
      <c r="H73" s="8">
        <v>16000</v>
      </c>
      <c r="I73" s="3"/>
      <c r="J73" s="7">
        <f t="shared" si="9"/>
        <v>0</v>
      </c>
      <c r="K73" s="3"/>
      <c r="L73" s="8">
        <f t="shared" si="10"/>
        <v>-14873.67</v>
      </c>
      <c r="M73" s="3"/>
      <c r="N73" s="7">
        <f t="shared" si="11"/>
        <v>-0.92960437500000004</v>
      </c>
      <c r="O73" s="12"/>
      <c r="P73" s="8">
        <v>9583.64</v>
      </c>
      <c r="Q73" s="3"/>
      <c r="R73" s="7">
        <f t="shared" si="12"/>
        <v>0</v>
      </c>
      <c r="S73" s="3"/>
      <c r="T73" s="8">
        <v>17400</v>
      </c>
      <c r="U73" s="3"/>
      <c r="V73" s="7">
        <f t="shared" si="13"/>
        <v>0</v>
      </c>
      <c r="W73" s="3"/>
      <c r="X73" s="8">
        <f t="shared" si="14"/>
        <v>-7816.3600000000006</v>
      </c>
      <c r="Y73" s="3"/>
      <c r="Z73" s="7">
        <f t="shared" si="15"/>
        <v>-0.44921609195402301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8">
        <v>2211.5700000000002</v>
      </c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2211.5700000000002</v>
      </c>
      <c r="M74" s="3"/>
      <c r="N74" s="7">
        <f t="shared" si="11"/>
        <v>0</v>
      </c>
      <c r="O74" s="12"/>
      <c r="P74" s="8">
        <v>16476.48</v>
      </c>
      <c r="Q74" s="3"/>
      <c r="R74" s="7">
        <f t="shared" si="12"/>
        <v>0</v>
      </c>
      <c r="S74" s="3"/>
      <c r="T74" s="8"/>
      <c r="U74" s="3"/>
      <c r="V74" s="7">
        <f t="shared" si="13"/>
        <v>0</v>
      </c>
      <c r="W74" s="3"/>
      <c r="X74" s="8">
        <f t="shared" si="14"/>
        <v>16476.48</v>
      </c>
      <c r="Y74" s="3"/>
      <c r="Z74" s="7">
        <f t="shared" si="15"/>
        <v>0</v>
      </c>
    </row>
    <row r="75" spans="1:26" s="69" customFormat="1" ht="15" customHeight="1" outlineLevel="1" collapsed="1" x14ac:dyDescent="0.3">
      <c r="A75" s="25"/>
      <c r="B75" s="14" t="str">
        <f>CONCATENATE("     ","Services                                          ")</f>
        <v xml:space="preserve">     Services                                          </v>
      </c>
      <c r="C75" s="14"/>
      <c r="D75" s="2">
        <f>SUM(OSRRefD22_16x_0)</f>
        <v>6581.67</v>
      </c>
      <c r="E75" s="2"/>
      <c r="F75" s="6">
        <f t="shared" si="8"/>
        <v>0</v>
      </c>
      <c r="G75" s="2"/>
      <c r="H75" s="2">
        <f>SUM(OSRRefH22_16x_0)</f>
        <v>4300</v>
      </c>
      <c r="I75" s="2"/>
      <c r="J75" s="6">
        <f t="shared" si="9"/>
        <v>0</v>
      </c>
      <c r="K75" s="2"/>
      <c r="L75" s="2">
        <f t="shared" si="10"/>
        <v>2281.67</v>
      </c>
      <c r="M75" s="2"/>
      <c r="N75" s="6">
        <f t="shared" si="11"/>
        <v>0.53062093023255819</v>
      </c>
      <c r="O75" s="14"/>
      <c r="P75" s="2">
        <f>SUM(OSRRefP22_16x_0)</f>
        <v>41968.84</v>
      </c>
      <c r="Q75" s="2"/>
      <c r="R75" s="6">
        <f t="shared" si="12"/>
        <v>0</v>
      </c>
      <c r="S75" s="2"/>
      <c r="T75" s="2">
        <f>SUM(OSRRefT22_16x_0)</f>
        <v>34400</v>
      </c>
      <c r="U75" s="2"/>
      <c r="V75" s="6">
        <f t="shared" si="13"/>
        <v>0</v>
      </c>
      <c r="W75" s="2"/>
      <c r="X75" s="2">
        <f t="shared" si="14"/>
        <v>7568.8399999999965</v>
      </c>
      <c r="Y75" s="2"/>
      <c r="Z75" s="6">
        <f t="shared" si="15"/>
        <v>0.22002441860465105</v>
      </c>
    </row>
    <row r="76" spans="1:26" s="70" customFormat="1" ht="15" hidden="1" customHeight="1" outlineLevel="2" x14ac:dyDescent="0.3">
      <c r="A76" s="26"/>
      <c r="B76" s="12" t="str">
        <f>CONCATENATE("          ","6282"," - ","JANITORIAL/EXTERMINATOR EXPENS")</f>
        <v xml:space="preserve">          6282 - JANITORIAL/EXTERMINATOR EXPENS</v>
      </c>
      <c r="C76" s="12"/>
      <c r="D76" s="8">
        <v>281.3</v>
      </c>
      <c r="E76" s="3"/>
      <c r="F76" s="7">
        <f t="shared" si="8"/>
        <v>0</v>
      </c>
      <c r="G76" s="3"/>
      <c r="H76" s="8">
        <v>4300</v>
      </c>
      <c r="I76" s="3"/>
      <c r="J76" s="7">
        <f t="shared" si="9"/>
        <v>0</v>
      </c>
      <c r="K76" s="3"/>
      <c r="L76" s="8">
        <f t="shared" si="10"/>
        <v>-4018.7</v>
      </c>
      <c r="M76" s="3"/>
      <c r="N76" s="7">
        <f t="shared" si="11"/>
        <v>-0.93458139534883722</v>
      </c>
      <c r="O76" s="12"/>
      <c r="P76" s="8">
        <v>1776.38</v>
      </c>
      <c r="Q76" s="3"/>
      <c r="R76" s="7">
        <f t="shared" si="12"/>
        <v>0</v>
      </c>
      <c r="S76" s="3"/>
      <c r="T76" s="8">
        <v>34400</v>
      </c>
      <c r="U76" s="3"/>
      <c r="V76" s="7">
        <f t="shared" si="13"/>
        <v>0</v>
      </c>
      <c r="W76" s="3"/>
      <c r="X76" s="8">
        <f t="shared" si="14"/>
        <v>-32623.62</v>
      </c>
      <c r="Y76" s="3"/>
      <c r="Z76" s="7">
        <f t="shared" si="15"/>
        <v>-0.94836104651162789</v>
      </c>
    </row>
    <row r="77" spans="1:26" s="70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8">
        <v>6300.37</v>
      </c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6300.37</v>
      </c>
      <c r="M77" s="3"/>
      <c r="N77" s="7">
        <f t="shared" si="11"/>
        <v>0</v>
      </c>
      <c r="O77" s="12"/>
      <c r="P77" s="8">
        <v>40192.46</v>
      </c>
      <c r="Q77" s="3"/>
      <c r="R77" s="7">
        <f t="shared" si="12"/>
        <v>0</v>
      </c>
      <c r="S77" s="3"/>
      <c r="T77" s="8"/>
      <c r="U77" s="3"/>
      <c r="V77" s="7">
        <f t="shared" si="13"/>
        <v>0</v>
      </c>
      <c r="W77" s="3"/>
      <c r="X77" s="8">
        <f t="shared" si="14"/>
        <v>40192.46</v>
      </c>
      <c r="Y77" s="3"/>
      <c r="Z77" s="7">
        <f t="shared" si="15"/>
        <v>0</v>
      </c>
    </row>
    <row r="78" spans="1:26" s="69" customFormat="1" ht="15" customHeight="1" outlineLevel="1" collapsed="1" x14ac:dyDescent="0.3">
      <c r="A78" s="25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2">
        <f>SUM(OSRRefD22_17x_0)</f>
        <v>0</v>
      </c>
      <c r="E78" s="2"/>
      <c r="F78" s="6">
        <f t="shared" si="8"/>
        <v>0</v>
      </c>
      <c r="G78" s="2"/>
      <c r="H78" s="2">
        <f>SUM(OSRRefH22_17x_0)</f>
        <v>1000</v>
      </c>
      <c r="I78" s="2"/>
      <c r="J78" s="6">
        <f t="shared" si="9"/>
        <v>0</v>
      </c>
      <c r="K78" s="2"/>
      <c r="L78" s="2">
        <f t="shared" si="10"/>
        <v>-1000</v>
      </c>
      <c r="M78" s="2"/>
      <c r="N78" s="6">
        <f t="shared" si="11"/>
        <v>-1</v>
      </c>
      <c r="O78" s="14"/>
      <c r="P78" s="2">
        <f>SUM(OSRRefP22_17x_0)</f>
        <v>-120</v>
      </c>
      <c r="Q78" s="2"/>
      <c r="R78" s="6">
        <f t="shared" si="12"/>
        <v>0</v>
      </c>
      <c r="S78" s="2"/>
      <c r="T78" s="2">
        <f>SUM(OSRRefT22_17x_0)</f>
        <v>4000</v>
      </c>
      <c r="U78" s="2"/>
      <c r="V78" s="6">
        <f t="shared" si="13"/>
        <v>0</v>
      </c>
      <c r="W78" s="2"/>
      <c r="X78" s="2">
        <f t="shared" si="14"/>
        <v>-4120</v>
      </c>
      <c r="Y78" s="2"/>
      <c r="Z78" s="6">
        <f t="shared" si="15"/>
        <v>-1.03</v>
      </c>
    </row>
    <row r="79" spans="1:26" s="70" customFormat="1" ht="15" hidden="1" customHeight="1" outlineLevel="2" x14ac:dyDescent="0.3">
      <c r="A79" s="26"/>
      <c r="B79" s="12" t="str">
        <f>CONCATENATE("          ","6258"," - ","MEMBERSHIP DUES")</f>
        <v xml:space="preserve">          6258 - MEMBERSHIP DUES</v>
      </c>
      <c r="C79" s="12"/>
      <c r="D79" s="8"/>
      <c r="E79" s="3"/>
      <c r="F79" s="7">
        <f t="shared" si="8"/>
        <v>0</v>
      </c>
      <c r="G79" s="3"/>
      <c r="H79" s="8">
        <v>1000</v>
      </c>
      <c r="I79" s="3"/>
      <c r="J79" s="7">
        <f t="shared" si="9"/>
        <v>0</v>
      </c>
      <c r="K79" s="3"/>
      <c r="L79" s="8">
        <f t="shared" si="10"/>
        <v>-1000</v>
      </c>
      <c r="M79" s="3"/>
      <c r="N79" s="7">
        <f t="shared" si="11"/>
        <v>-1</v>
      </c>
      <c r="O79" s="12"/>
      <c r="P79" s="8">
        <v>-120</v>
      </c>
      <c r="Q79" s="3"/>
      <c r="R79" s="7">
        <f t="shared" si="12"/>
        <v>0</v>
      </c>
      <c r="S79" s="3"/>
      <c r="T79" s="8">
        <v>4000</v>
      </c>
      <c r="U79" s="3"/>
      <c r="V79" s="7">
        <f t="shared" si="13"/>
        <v>0</v>
      </c>
      <c r="W79" s="3"/>
      <c r="X79" s="8">
        <f t="shared" si="14"/>
        <v>-4120</v>
      </c>
      <c r="Y79" s="3"/>
      <c r="Z79" s="7">
        <f t="shared" si="15"/>
        <v>-1.03</v>
      </c>
    </row>
    <row r="80" spans="1:26" s="69" customFormat="1" ht="15" customHeight="1" outlineLevel="1" collapsed="1" x14ac:dyDescent="0.3">
      <c r="A80" s="25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SUM(OSRRefD22_18x_0)</f>
        <v>13772.9</v>
      </c>
      <c r="E80" s="2"/>
      <c r="F80" s="6">
        <f t="shared" si="8"/>
        <v>0</v>
      </c>
      <c r="G80" s="2"/>
      <c r="H80" s="2">
        <f>SUM(OSRRefH22_18x_0)</f>
        <v>5500</v>
      </c>
      <c r="I80" s="2"/>
      <c r="J80" s="6">
        <f t="shared" si="9"/>
        <v>0</v>
      </c>
      <c r="K80" s="2"/>
      <c r="L80" s="2">
        <f t="shared" si="10"/>
        <v>8272.9</v>
      </c>
      <c r="M80" s="2"/>
      <c r="N80" s="6">
        <f t="shared" si="11"/>
        <v>1.5041636363636364</v>
      </c>
      <c r="O80" s="14"/>
      <c r="P80" s="2">
        <f>SUM(OSRRefP22_18x_0)</f>
        <v>36216.47</v>
      </c>
      <c r="Q80" s="2"/>
      <c r="R80" s="6">
        <f t="shared" si="12"/>
        <v>0</v>
      </c>
      <c r="S80" s="2"/>
      <c r="T80" s="2">
        <f>SUM(OSRRefT22_18x_0)</f>
        <v>43400</v>
      </c>
      <c r="U80" s="2"/>
      <c r="V80" s="6">
        <f t="shared" si="13"/>
        <v>0</v>
      </c>
      <c r="W80" s="2"/>
      <c r="X80" s="2">
        <f t="shared" si="14"/>
        <v>-7183.5299999999988</v>
      </c>
      <c r="Y80" s="2"/>
      <c r="Z80" s="6">
        <f t="shared" si="15"/>
        <v>-0.1655191244239631</v>
      </c>
    </row>
    <row r="81" spans="1:26" s="70" customFormat="1" ht="15" hidden="1" customHeight="1" outlineLevel="2" x14ac:dyDescent="0.3">
      <c r="A81" s="26"/>
      <c r="B81" s="12" t="str">
        <f>CONCATENATE("          ","6234"," - ","EXPENDABLE SUPPLIES &amp; EQUIPMEN")</f>
        <v xml:space="preserve">          6234 - EXPENDABLE SUPPLIES &amp; EQUIPMEN</v>
      </c>
      <c r="C81" s="12"/>
      <c r="D81" s="8"/>
      <c r="E81" s="3"/>
      <c r="F81" s="7">
        <f t="shared" si="8"/>
        <v>0</v>
      </c>
      <c r="G81" s="3"/>
      <c r="H81" s="8">
        <v>300</v>
      </c>
      <c r="I81" s="3"/>
      <c r="J81" s="7">
        <f t="shared" si="9"/>
        <v>0</v>
      </c>
      <c r="K81" s="3"/>
      <c r="L81" s="8">
        <f t="shared" si="10"/>
        <v>-300</v>
      </c>
      <c r="M81" s="3"/>
      <c r="N81" s="7">
        <f t="shared" si="11"/>
        <v>-1</v>
      </c>
      <c r="O81" s="12"/>
      <c r="P81" s="8">
        <v>3896.02</v>
      </c>
      <c r="Q81" s="3"/>
      <c r="R81" s="7">
        <f t="shared" si="12"/>
        <v>0</v>
      </c>
      <c r="S81" s="3"/>
      <c r="T81" s="8">
        <v>1800</v>
      </c>
      <c r="U81" s="3"/>
      <c r="V81" s="7">
        <f t="shared" si="13"/>
        <v>0</v>
      </c>
      <c r="W81" s="3"/>
      <c r="X81" s="8">
        <f t="shared" si="14"/>
        <v>2096.02</v>
      </c>
      <c r="Y81" s="3"/>
      <c r="Z81" s="7">
        <f t="shared" si="15"/>
        <v>1.1644555555555556</v>
      </c>
    </row>
    <row r="82" spans="1:26" s="70" customFormat="1" ht="15" hidden="1" customHeight="1" outlineLevel="2" x14ac:dyDescent="0.3">
      <c r="A82" s="26"/>
      <c r="B82" s="12" t="str">
        <f>CONCATENATE("          ","6235"," - ","COVID-19 EXPENSES")</f>
        <v xml:space="preserve">          6235 - COVID-19 EXPENSES</v>
      </c>
      <c r="C82" s="12"/>
      <c r="D82" s="8"/>
      <c r="E82" s="3"/>
      <c r="F82" s="7">
        <f t="shared" si="8"/>
        <v>0</v>
      </c>
      <c r="G82" s="3"/>
      <c r="H82" s="8">
        <v>100</v>
      </c>
      <c r="I82" s="3"/>
      <c r="J82" s="7">
        <f t="shared" si="9"/>
        <v>0</v>
      </c>
      <c r="K82" s="3"/>
      <c r="L82" s="8">
        <f t="shared" si="10"/>
        <v>-100</v>
      </c>
      <c r="M82" s="3"/>
      <c r="N82" s="7">
        <f t="shared" si="11"/>
        <v>-1</v>
      </c>
      <c r="O82" s="12"/>
      <c r="P82" s="8">
        <v>3430.32</v>
      </c>
      <c r="Q82" s="3"/>
      <c r="R82" s="7">
        <f t="shared" si="12"/>
        <v>0</v>
      </c>
      <c r="S82" s="3"/>
      <c r="T82" s="8">
        <v>800</v>
      </c>
      <c r="U82" s="3"/>
      <c r="V82" s="7">
        <f t="shared" si="13"/>
        <v>0</v>
      </c>
      <c r="W82" s="3"/>
      <c r="X82" s="8">
        <f t="shared" si="14"/>
        <v>2630.32</v>
      </c>
      <c r="Y82" s="3"/>
      <c r="Z82" s="7">
        <f t="shared" si="15"/>
        <v>3.2879</v>
      </c>
    </row>
    <row r="83" spans="1:26" s="70" customFormat="1" ht="15" hidden="1" customHeight="1" outlineLevel="2" x14ac:dyDescent="0.3">
      <c r="A83" s="26"/>
      <c r="B83" s="12" t="str">
        <f>CONCATENATE("          ","6237"," - ","JANITORIAL SUPPLIES")</f>
        <v xml:space="preserve">          6237 - JANITORIAL SUPPLIES</v>
      </c>
      <c r="C83" s="12"/>
      <c r="D83" s="8"/>
      <c r="E83" s="3"/>
      <c r="F83" s="7">
        <f t="shared" ref="F83:F95" si="16">IF(D$12=0,0,D83/D$12)</f>
        <v>0</v>
      </c>
      <c r="G83" s="3"/>
      <c r="H83" s="8"/>
      <c r="I83" s="3"/>
      <c r="J83" s="7">
        <f t="shared" ref="J83:J95" si="17">IF(H$12=0,0,H83/H$12)</f>
        <v>0</v>
      </c>
      <c r="K83" s="3"/>
      <c r="L83" s="8">
        <f t="shared" ref="L83:L95" si="18">+D83-H83</f>
        <v>0</v>
      </c>
      <c r="M83" s="3"/>
      <c r="N83" s="7">
        <f t="shared" ref="N83:N95" si="19">IF(H83=0,0,L83/H83)</f>
        <v>0</v>
      </c>
      <c r="O83" s="12"/>
      <c r="P83" s="8">
        <v>4454</v>
      </c>
      <c r="Q83" s="3"/>
      <c r="R83" s="7">
        <f t="shared" ref="R83:R95" si="20">IF(P$12=0,0,P83/P$12)</f>
        <v>0</v>
      </c>
      <c r="S83" s="3"/>
      <c r="T83" s="8"/>
      <c r="U83" s="3"/>
      <c r="V83" s="7">
        <f t="shared" ref="V83:V95" si="21">IF(T$12=0,0,T83/T$12)</f>
        <v>0</v>
      </c>
      <c r="W83" s="3"/>
      <c r="X83" s="8">
        <f t="shared" ref="X83:X95" si="22">+P83-T83</f>
        <v>4454</v>
      </c>
      <c r="Y83" s="3"/>
      <c r="Z83" s="7">
        <f t="shared" ref="Z83:Z95" si="23">IF(T83=0,0,X83/T83)</f>
        <v>0</v>
      </c>
    </row>
    <row r="84" spans="1:26" s="70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8">
        <v>155.72999999999999</v>
      </c>
      <c r="E84" s="3"/>
      <c r="F84" s="7">
        <f t="shared" si="16"/>
        <v>0</v>
      </c>
      <c r="G84" s="3"/>
      <c r="H84" s="8">
        <v>100</v>
      </c>
      <c r="I84" s="3"/>
      <c r="J84" s="7">
        <f t="shared" si="17"/>
        <v>0</v>
      </c>
      <c r="K84" s="3"/>
      <c r="L84" s="8">
        <f t="shared" si="18"/>
        <v>55.72999999999999</v>
      </c>
      <c r="M84" s="3"/>
      <c r="N84" s="7">
        <f t="shared" si="19"/>
        <v>0.55729999999999991</v>
      </c>
      <c r="O84" s="12"/>
      <c r="P84" s="8">
        <v>1489.33</v>
      </c>
      <c r="Q84" s="3"/>
      <c r="R84" s="7">
        <f t="shared" si="20"/>
        <v>0</v>
      </c>
      <c r="S84" s="3"/>
      <c r="T84" s="8">
        <v>800</v>
      </c>
      <c r="U84" s="3"/>
      <c r="V84" s="7">
        <f t="shared" si="21"/>
        <v>0</v>
      </c>
      <c r="W84" s="3"/>
      <c r="X84" s="8">
        <f t="shared" si="22"/>
        <v>689.32999999999993</v>
      </c>
      <c r="Y84" s="3"/>
      <c r="Z84" s="7">
        <f t="shared" si="23"/>
        <v>0.86166249999999989</v>
      </c>
    </row>
    <row r="85" spans="1:26" s="70" customFormat="1" ht="15" hidden="1" customHeight="1" outlineLevel="2" x14ac:dyDescent="0.3">
      <c r="A85" s="26"/>
      <c r="B85" s="12" t="str">
        <f>CONCATENATE("          ","6245"," - ","PRINTING")</f>
        <v xml:space="preserve">          6245 - PRINTING</v>
      </c>
      <c r="C85" s="12"/>
      <c r="D85" s="8"/>
      <c r="E85" s="3"/>
      <c r="F85" s="7">
        <f t="shared" si="16"/>
        <v>0</v>
      </c>
      <c r="G85" s="3"/>
      <c r="H85" s="8"/>
      <c r="I85" s="3"/>
      <c r="J85" s="7">
        <f t="shared" si="17"/>
        <v>0</v>
      </c>
      <c r="K85" s="3"/>
      <c r="L85" s="8">
        <f t="shared" si="18"/>
        <v>0</v>
      </c>
      <c r="M85" s="3"/>
      <c r="N85" s="7">
        <f t="shared" si="19"/>
        <v>0</v>
      </c>
      <c r="O85" s="12"/>
      <c r="P85" s="8">
        <v>1618.44</v>
      </c>
      <c r="Q85" s="3"/>
      <c r="R85" s="7">
        <f t="shared" si="20"/>
        <v>0</v>
      </c>
      <c r="S85" s="3"/>
      <c r="T85" s="8"/>
      <c r="U85" s="3"/>
      <c r="V85" s="7">
        <f t="shared" si="21"/>
        <v>0</v>
      </c>
      <c r="W85" s="3"/>
      <c r="X85" s="8">
        <f t="shared" si="22"/>
        <v>1618.44</v>
      </c>
      <c r="Y85" s="3"/>
      <c r="Z85" s="7">
        <f t="shared" si="23"/>
        <v>0</v>
      </c>
    </row>
    <row r="86" spans="1:26" s="70" customFormat="1" ht="15" hidden="1" customHeight="1" outlineLevel="2" x14ac:dyDescent="0.3">
      <c r="A86" s="26"/>
      <c r="B86" s="12" t="str">
        <f>CONCATENATE("          ","6247"," - ","STORE SUPPLIES")</f>
        <v xml:space="preserve">          6247 - STORE SUPPLIES</v>
      </c>
      <c r="C86" s="12"/>
      <c r="D86" s="8">
        <v>13617.17</v>
      </c>
      <c r="E86" s="3"/>
      <c r="F86" s="7">
        <f t="shared" si="16"/>
        <v>0</v>
      </c>
      <c r="G86" s="3"/>
      <c r="H86" s="8">
        <v>5000</v>
      </c>
      <c r="I86" s="3"/>
      <c r="J86" s="7">
        <f t="shared" si="17"/>
        <v>0</v>
      </c>
      <c r="K86" s="3"/>
      <c r="L86" s="8">
        <f t="shared" si="18"/>
        <v>8617.17</v>
      </c>
      <c r="M86" s="3"/>
      <c r="N86" s="7">
        <f t="shared" si="19"/>
        <v>1.7234339999999999</v>
      </c>
      <c r="O86" s="12"/>
      <c r="P86" s="8">
        <v>21328.36</v>
      </c>
      <c r="Q86" s="3"/>
      <c r="R86" s="7">
        <f t="shared" si="20"/>
        <v>0</v>
      </c>
      <c r="S86" s="3"/>
      <c r="T86" s="8">
        <v>40000</v>
      </c>
      <c r="U86" s="3"/>
      <c r="V86" s="7">
        <f t="shared" si="21"/>
        <v>0</v>
      </c>
      <c r="W86" s="3"/>
      <c r="X86" s="8">
        <f t="shared" si="22"/>
        <v>-18671.64</v>
      </c>
      <c r="Y86" s="3"/>
      <c r="Z86" s="7">
        <f t="shared" si="23"/>
        <v>-0.46679100000000001</v>
      </c>
    </row>
    <row r="87" spans="1:26" s="69" customFormat="1" ht="15" customHeight="1" outlineLevel="1" collapsed="1" x14ac:dyDescent="0.3">
      <c r="A87" s="25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SUM(OSRRefD22_19x_0)</f>
        <v>570.4</v>
      </c>
      <c r="E87" s="2"/>
      <c r="F87" s="6">
        <f t="shared" si="16"/>
        <v>0</v>
      </c>
      <c r="G87" s="2"/>
      <c r="H87" s="2">
        <f>SUM(OSRRefH22_19x_0)</f>
        <v>600</v>
      </c>
      <c r="I87" s="2"/>
      <c r="J87" s="6">
        <f t="shared" si="17"/>
        <v>0</v>
      </c>
      <c r="K87" s="2"/>
      <c r="L87" s="2">
        <f t="shared" si="18"/>
        <v>-29.600000000000023</v>
      </c>
      <c r="M87" s="2"/>
      <c r="N87" s="6">
        <f t="shared" si="19"/>
        <v>-4.9333333333333368E-2</v>
      </c>
      <c r="O87" s="14"/>
      <c r="P87" s="2">
        <f>SUM(OSRRefP22_19x_0)</f>
        <v>4772.72</v>
      </c>
      <c r="Q87" s="2"/>
      <c r="R87" s="6">
        <f t="shared" si="20"/>
        <v>0</v>
      </c>
      <c r="S87" s="2"/>
      <c r="T87" s="2">
        <f>SUM(OSRRefT22_19x_0)</f>
        <v>4800</v>
      </c>
      <c r="U87" s="2"/>
      <c r="V87" s="6">
        <f t="shared" si="21"/>
        <v>0</v>
      </c>
      <c r="W87" s="2"/>
      <c r="X87" s="2">
        <f t="shared" si="22"/>
        <v>-27.279999999999745</v>
      </c>
      <c r="Y87" s="2"/>
      <c r="Z87" s="6">
        <f t="shared" si="23"/>
        <v>-5.6833333333332799E-3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8">
        <v>570.4</v>
      </c>
      <c r="E88" s="3"/>
      <c r="F88" s="7">
        <f t="shared" si="16"/>
        <v>0</v>
      </c>
      <c r="G88" s="3"/>
      <c r="H88" s="8">
        <v>600</v>
      </c>
      <c r="I88" s="3"/>
      <c r="J88" s="7">
        <f t="shared" si="17"/>
        <v>0</v>
      </c>
      <c r="K88" s="3"/>
      <c r="L88" s="8">
        <f t="shared" si="18"/>
        <v>-29.600000000000023</v>
      </c>
      <c r="M88" s="3"/>
      <c r="N88" s="7">
        <f t="shared" si="19"/>
        <v>-4.9333333333333368E-2</v>
      </c>
      <c r="O88" s="12"/>
      <c r="P88" s="8">
        <v>4772.72</v>
      </c>
      <c r="Q88" s="3"/>
      <c r="R88" s="7">
        <f t="shared" si="20"/>
        <v>0</v>
      </c>
      <c r="S88" s="3"/>
      <c r="T88" s="8">
        <v>4800</v>
      </c>
      <c r="U88" s="3"/>
      <c r="V88" s="7">
        <f t="shared" si="21"/>
        <v>0</v>
      </c>
      <c r="W88" s="3"/>
      <c r="X88" s="8">
        <f t="shared" si="22"/>
        <v>-27.279999999999745</v>
      </c>
      <c r="Y88" s="3"/>
      <c r="Z88" s="7">
        <f t="shared" si="23"/>
        <v>-5.6833333333332799E-3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SUM(OSRRefD22_20x_0)</f>
        <v>0</v>
      </c>
      <c r="E89" s="2"/>
      <c r="F89" s="6">
        <f t="shared" si="16"/>
        <v>0</v>
      </c>
      <c r="G89" s="2"/>
      <c r="H89" s="2">
        <f>SUM(OSRRefH22_20x_0)</f>
        <v>2000</v>
      </c>
      <c r="I89" s="2"/>
      <c r="J89" s="6">
        <f t="shared" si="17"/>
        <v>0</v>
      </c>
      <c r="K89" s="2"/>
      <c r="L89" s="2">
        <f t="shared" si="18"/>
        <v>-2000</v>
      </c>
      <c r="M89" s="2"/>
      <c r="N89" s="6">
        <f t="shared" si="19"/>
        <v>-1</v>
      </c>
      <c r="O89" s="14"/>
      <c r="P89" s="2">
        <f>SUM(OSRRefP22_20x_0)</f>
        <v>595</v>
      </c>
      <c r="Q89" s="2"/>
      <c r="R89" s="6">
        <f t="shared" si="20"/>
        <v>0</v>
      </c>
      <c r="S89" s="2"/>
      <c r="T89" s="2">
        <f>SUM(OSRRefT22_20x_0)</f>
        <v>2000</v>
      </c>
      <c r="U89" s="2"/>
      <c r="V89" s="6">
        <f t="shared" si="21"/>
        <v>0</v>
      </c>
      <c r="W89" s="2"/>
      <c r="X89" s="2">
        <f t="shared" si="22"/>
        <v>-1405</v>
      </c>
      <c r="Y89" s="2"/>
      <c r="Z89" s="6">
        <f t="shared" si="23"/>
        <v>-0.70250000000000001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8"/>
      <c r="E90" s="3"/>
      <c r="F90" s="7">
        <f t="shared" si="16"/>
        <v>0</v>
      </c>
      <c r="G90" s="3"/>
      <c r="H90" s="8">
        <v>2000</v>
      </c>
      <c r="I90" s="3"/>
      <c r="J90" s="7">
        <f t="shared" si="17"/>
        <v>0</v>
      </c>
      <c r="K90" s="3"/>
      <c r="L90" s="8">
        <f t="shared" si="18"/>
        <v>-2000</v>
      </c>
      <c r="M90" s="3"/>
      <c r="N90" s="7">
        <f t="shared" si="19"/>
        <v>-1</v>
      </c>
      <c r="O90" s="12"/>
      <c r="P90" s="8">
        <v>595</v>
      </c>
      <c r="Q90" s="3"/>
      <c r="R90" s="7">
        <f t="shared" si="20"/>
        <v>0</v>
      </c>
      <c r="S90" s="3"/>
      <c r="T90" s="8">
        <v>2000</v>
      </c>
      <c r="U90" s="3"/>
      <c r="V90" s="7">
        <f t="shared" si="21"/>
        <v>0</v>
      </c>
      <c r="W90" s="3"/>
      <c r="X90" s="8">
        <f t="shared" si="22"/>
        <v>-1405</v>
      </c>
      <c r="Y90" s="3"/>
      <c r="Z90" s="7">
        <f t="shared" si="23"/>
        <v>-0.70250000000000001</v>
      </c>
    </row>
    <row r="91" spans="1:26" s="69" customFormat="1" ht="15" customHeight="1" outlineLevel="1" collapsed="1" x14ac:dyDescent="0.3">
      <c r="A91" s="25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SUM(OSRRefD22_21x_0)</f>
        <v>90.01</v>
      </c>
      <c r="E91" s="2"/>
      <c r="F91" s="6">
        <f t="shared" si="16"/>
        <v>0</v>
      </c>
      <c r="G91" s="2"/>
      <c r="H91" s="2">
        <f>SUM(OSRRefH22_21x_0)</f>
        <v>125</v>
      </c>
      <c r="I91" s="2"/>
      <c r="J91" s="6">
        <f t="shared" si="17"/>
        <v>0</v>
      </c>
      <c r="K91" s="2"/>
      <c r="L91" s="2">
        <f t="shared" si="18"/>
        <v>-34.989999999999995</v>
      </c>
      <c r="M91" s="2"/>
      <c r="N91" s="6">
        <f t="shared" si="19"/>
        <v>-0.27991999999999995</v>
      </c>
      <c r="O91" s="14"/>
      <c r="P91" s="2">
        <f>SUM(OSRRefP22_21x_0)</f>
        <v>732.09</v>
      </c>
      <c r="Q91" s="2"/>
      <c r="R91" s="6">
        <f t="shared" si="20"/>
        <v>0</v>
      </c>
      <c r="S91" s="2"/>
      <c r="T91" s="2">
        <f>SUM(OSRRefT22_21x_0)</f>
        <v>1000</v>
      </c>
      <c r="U91" s="2"/>
      <c r="V91" s="6">
        <f t="shared" si="21"/>
        <v>0</v>
      </c>
      <c r="W91" s="2"/>
      <c r="X91" s="2">
        <f t="shared" si="22"/>
        <v>-267.90999999999997</v>
      </c>
      <c r="Y91" s="2"/>
      <c r="Z91" s="6">
        <f t="shared" si="23"/>
        <v>-0.26790999999999998</v>
      </c>
    </row>
    <row r="92" spans="1:26" s="70" customFormat="1" ht="15" hidden="1" customHeight="1" outlineLevel="2" x14ac:dyDescent="0.3">
      <c r="A92" s="26"/>
      <c r="B92" s="12" t="str">
        <f>CONCATENATE("          ","6292"," - ","TRAVEL/CONFERENCE")</f>
        <v xml:space="preserve">          6292 - TRAVEL/CONFERENCE</v>
      </c>
      <c r="C92" s="12"/>
      <c r="D92" s="8"/>
      <c r="E92" s="3"/>
      <c r="F92" s="7">
        <f t="shared" si="16"/>
        <v>0</v>
      </c>
      <c r="G92" s="3"/>
      <c r="H92" s="8">
        <v>125</v>
      </c>
      <c r="I92" s="3"/>
      <c r="J92" s="7">
        <f t="shared" si="17"/>
        <v>0</v>
      </c>
      <c r="K92" s="3"/>
      <c r="L92" s="8">
        <f t="shared" si="18"/>
        <v>-125</v>
      </c>
      <c r="M92" s="3"/>
      <c r="N92" s="7">
        <f t="shared" si="19"/>
        <v>-1</v>
      </c>
      <c r="O92" s="12"/>
      <c r="P92" s="8">
        <v>495</v>
      </c>
      <c r="Q92" s="3"/>
      <c r="R92" s="7">
        <f t="shared" si="20"/>
        <v>0</v>
      </c>
      <c r="S92" s="3"/>
      <c r="T92" s="8">
        <v>1000</v>
      </c>
      <c r="U92" s="3"/>
      <c r="V92" s="7">
        <f t="shared" si="21"/>
        <v>0</v>
      </c>
      <c r="W92" s="3"/>
      <c r="X92" s="8">
        <f t="shared" si="22"/>
        <v>-505</v>
      </c>
      <c r="Y92" s="3"/>
      <c r="Z92" s="7">
        <f t="shared" si="23"/>
        <v>-0.505</v>
      </c>
    </row>
    <row r="93" spans="1:26" s="70" customFormat="1" ht="15" hidden="1" customHeight="1" outlineLevel="2" x14ac:dyDescent="0.3">
      <c r="A93" s="26"/>
      <c r="B93" s="12" t="str">
        <f>CONCATENATE("          ","6298"," - ","VEHICLE MILEAGE")</f>
        <v xml:space="preserve">          6298 - VEHICLE MILEAGE</v>
      </c>
      <c r="C93" s="12"/>
      <c r="D93" s="8">
        <v>90.01</v>
      </c>
      <c r="E93" s="3"/>
      <c r="F93" s="7">
        <f t="shared" si="16"/>
        <v>0</v>
      </c>
      <c r="G93" s="3"/>
      <c r="H93" s="8"/>
      <c r="I93" s="3"/>
      <c r="J93" s="7">
        <f t="shared" si="17"/>
        <v>0</v>
      </c>
      <c r="K93" s="3"/>
      <c r="L93" s="8">
        <f t="shared" si="18"/>
        <v>90.01</v>
      </c>
      <c r="M93" s="3"/>
      <c r="N93" s="7">
        <f t="shared" si="19"/>
        <v>0</v>
      </c>
      <c r="O93" s="12"/>
      <c r="P93" s="8">
        <v>237.09</v>
      </c>
      <c r="Q93" s="3"/>
      <c r="R93" s="7">
        <f t="shared" si="20"/>
        <v>0</v>
      </c>
      <c r="S93" s="3"/>
      <c r="T93" s="8"/>
      <c r="U93" s="3"/>
      <c r="V93" s="7">
        <f t="shared" si="21"/>
        <v>0</v>
      </c>
      <c r="W93" s="3"/>
      <c r="X93" s="8">
        <f t="shared" si="22"/>
        <v>237.09</v>
      </c>
      <c r="Y93" s="3"/>
      <c r="Z93" s="7">
        <f t="shared" si="23"/>
        <v>0</v>
      </c>
    </row>
    <row r="94" spans="1:26" s="69" customFormat="1" ht="15" customHeight="1" outlineLevel="1" collapsed="1" x14ac:dyDescent="0.3">
      <c r="A94" s="25"/>
      <c r="B94" s="14" t="str">
        <f>CONCATENATE("     ","Utilities                                         ")</f>
        <v xml:space="preserve">     Utilities                                         </v>
      </c>
      <c r="C94" s="14"/>
      <c r="D94" s="2">
        <f>SUM(OSRRefD22_22x_0)</f>
        <v>6000</v>
      </c>
      <c r="E94" s="2"/>
      <c r="F94" s="6">
        <f t="shared" si="16"/>
        <v>0</v>
      </c>
      <c r="G94" s="2"/>
      <c r="H94" s="2">
        <f>SUM(OSRRefH22_22x_0)</f>
        <v>6000</v>
      </c>
      <c r="I94" s="2"/>
      <c r="J94" s="6">
        <f t="shared" si="17"/>
        <v>0</v>
      </c>
      <c r="K94" s="2"/>
      <c r="L94" s="2">
        <f t="shared" si="18"/>
        <v>0</v>
      </c>
      <c r="M94" s="2"/>
      <c r="N94" s="6">
        <f t="shared" si="19"/>
        <v>0</v>
      </c>
      <c r="O94" s="14"/>
      <c r="P94" s="2">
        <f>SUM(OSRRefP22_22x_0)</f>
        <v>42000</v>
      </c>
      <c r="Q94" s="2"/>
      <c r="R94" s="6">
        <f t="shared" si="20"/>
        <v>0</v>
      </c>
      <c r="S94" s="2"/>
      <c r="T94" s="2">
        <f>SUM(OSRRefT22_22x_0)</f>
        <v>48000</v>
      </c>
      <c r="U94" s="2"/>
      <c r="V94" s="6">
        <f t="shared" si="21"/>
        <v>0</v>
      </c>
      <c r="W94" s="2"/>
      <c r="X94" s="2">
        <f t="shared" si="22"/>
        <v>-6000</v>
      </c>
      <c r="Y94" s="2"/>
      <c r="Z94" s="6">
        <f t="shared" si="23"/>
        <v>-0.125</v>
      </c>
    </row>
    <row r="95" spans="1:26" s="70" customFormat="1" ht="15" hidden="1" customHeight="1" outlineLevel="2" x14ac:dyDescent="0.3">
      <c r="A95" s="26"/>
      <c r="B95" s="12" t="str">
        <f>CONCATENATE("          ","6274"," - ","UTILITIES")</f>
        <v xml:space="preserve">          6274 - UTILITIES</v>
      </c>
      <c r="C95" s="12"/>
      <c r="D95" s="8">
        <v>6000</v>
      </c>
      <c r="E95" s="3"/>
      <c r="F95" s="7">
        <f t="shared" si="16"/>
        <v>0</v>
      </c>
      <c r="G95" s="3"/>
      <c r="H95" s="8">
        <v>6000</v>
      </c>
      <c r="I95" s="3"/>
      <c r="J95" s="7">
        <f t="shared" si="17"/>
        <v>0</v>
      </c>
      <c r="K95" s="3"/>
      <c r="L95" s="8">
        <f t="shared" si="18"/>
        <v>0</v>
      </c>
      <c r="M95" s="3"/>
      <c r="N95" s="7">
        <f t="shared" si="19"/>
        <v>0</v>
      </c>
      <c r="O95" s="12"/>
      <c r="P95" s="8">
        <v>42000</v>
      </c>
      <c r="Q95" s="3"/>
      <c r="R95" s="7">
        <f t="shared" si="20"/>
        <v>0</v>
      </c>
      <c r="S95" s="3"/>
      <c r="T95" s="8">
        <v>48000</v>
      </c>
      <c r="U95" s="3"/>
      <c r="V95" s="7">
        <f t="shared" si="21"/>
        <v>0</v>
      </c>
      <c r="W95" s="3"/>
      <c r="X95" s="8">
        <f t="shared" si="22"/>
        <v>-6000</v>
      </c>
      <c r="Y95" s="3"/>
      <c r="Z95" s="7">
        <f t="shared" si="23"/>
        <v>-0.125</v>
      </c>
    </row>
    <row r="96" spans="1:26" s="65" customFormat="1" ht="15" customHeight="1" x14ac:dyDescent="0.3">
      <c r="A96" s="35"/>
      <c r="B96" s="35"/>
      <c r="C96" s="35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35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63" customFormat="1" ht="15" customHeight="1" collapsed="1" x14ac:dyDescent="0.3">
      <c r="A97" s="11"/>
      <c r="B97" s="27" t="s">
        <v>291</v>
      </c>
      <c r="C97" s="11"/>
      <c r="D97" s="5">
        <f>SUM(OSRRefD25x_0)</f>
        <v>56336.75</v>
      </c>
      <c r="E97" s="5"/>
      <c r="F97" s="13">
        <f>IF(D$12=0,0,D97/D$12)</f>
        <v>0</v>
      </c>
      <c r="G97" s="5"/>
      <c r="H97" s="5">
        <f>SUM(OSRRefH25x_0)</f>
        <v>46300</v>
      </c>
      <c r="I97" s="5"/>
      <c r="J97" s="13">
        <f>IF(H$12=0,0,H97/H$12)</f>
        <v>0</v>
      </c>
      <c r="K97" s="5"/>
      <c r="L97" s="5">
        <f>+D97-H97</f>
        <v>10036.75</v>
      </c>
      <c r="M97" s="5"/>
      <c r="N97" s="13">
        <f>IF(H97=0,0,L97/H97)</f>
        <v>0.21677645788336933</v>
      </c>
      <c r="O97" s="11"/>
      <c r="P97" s="5">
        <f>SUM(OSRRefP25x_0)</f>
        <v>204368.44</v>
      </c>
      <c r="Q97" s="5"/>
      <c r="R97" s="13">
        <f>IF(P$12=0,0,P97/P$12)</f>
        <v>0</v>
      </c>
      <c r="S97" s="5"/>
      <c r="T97" s="5">
        <f>SUM(OSRRefT25x_0)</f>
        <v>142800</v>
      </c>
      <c r="U97" s="5"/>
      <c r="V97" s="13">
        <f>IF(T$12=0,0,T97/T$12)</f>
        <v>0</v>
      </c>
      <c r="W97" s="5"/>
      <c r="X97" s="5">
        <f>+P97-T97</f>
        <v>61568.44</v>
      </c>
      <c r="Y97" s="5"/>
      <c r="Z97" s="13">
        <f>IF(T97=0,0,X97/T97)</f>
        <v>0.4311515406162465</v>
      </c>
    </row>
    <row r="98" spans="1:26" s="70" customFormat="1" ht="15" hidden="1" customHeight="1" outlineLevel="1" x14ac:dyDescent="0.3">
      <c r="A98" s="42"/>
      <c r="B98" s="12" t="str">
        <f>CONCATENATE("          ","9150"," - ","MISC. INCOME")</f>
        <v xml:space="preserve">          9150 - MISC. INCOME</v>
      </c>
      <c r="C98" s="12"/>
      <c r="D98" s="3">
        <f>--56336.75</f>
        <v>56336.75</v>
      </c>
      <c r="E98" s="3"/>
      <c r="F98" s="20">
        <f>IF(D$12=0,0,D98/D$12)</f>
        <v>0</v>
      </c>
      <c r="G98" s="3"/>
      <c r="H98" s="3">
        <v>3300</v>
      </c>
      <c r="I98" s="3"/>
      <c r="J98" s="20">
        <f>IF(H$12=0,0,H98/H$12)</f>
        <v>0</v>
      </c>
      <c r="K98" s="3"/>
      <c r="L98" s="3">
        <f>+D98-H98</f>
        <v>53036.75</v>
      </c>
      <c r="M98" s="3"/>
      <c r="N98" s="20">
        <f>IF(H98=0,0,L98/H98)</f>
        <v>16.071742424242423</v>
      </c>
      <c r="O98" s="12"/>
      <c r="P98" s="3">
        <f>--204368.44</f>
        <v>204368.44</v>
      </c>
      <c r="Q98" s="3"/>
      <c r="R98" s="20">
        <f>IF(P$12=0,0,P98/P$12)</f>
        <v>0</v>
      </c>
      <c r="S98" s="3"/>
      <c r="T98" s="3">
        <v>13800</v>
      </c>
      <c r="U98" s="3"/>
      <c r="V98" s="20">
        <f>IF(T$12=0,0,T98/T$12)</f>
        <v>0</v>
      </c>
      <c r="W98" s="3"/>
      <c r="X98" s="3">
        <f>+P98-T98</f>
        <v>190568.44</v>
      </c>
      <c r="Y98" s="3"/>
      <c r="Z98" s="20">
        <f>IF(T98=0,0,X98/T98)</f>
        <v>13.809307246376811</v>
      </c>
    </row>
    <row r="99" spans="1:26" s="70" customFormat="1" ht="15" hidden="1" customHeight="1" outlineLevel="1" x14ac:dyDescent="0.3">
      <c r="A99" s="42"/>
      <c r="B99" s="12" t="str">
        <f>CONCATENATE("          ","9151"," - ","MISC. INCOME")</f>
        <v xml:space="preserve">          9151 - MISC. INCOME</v>
      </c>
      <c r="C99" s="12"/>
      <c r="D99" s="3">
        <f>0</f>
        <v>0</v>
      </c>
      <c r="E99" s="3"/>
      <c r="F99" s="20">
        <f>IF(D$12=0,0,D99/D$12)</f>
        <v>0</v>
      </c>
      <c r="G99" s="3"/>
      <c r="H99" s="3">
        <v>43000</v>
      </c>
      <c r="I99" s="3"/>
      <c r="J99" s="20">
        <f>IF(H$12=0,0,H99/H$12)</f>
        <v>0</v>
      </c>
      <c r="K99" s="3"/>
      <c r="L99" s="3">
        <f>+D99-H99</f>
        <v>-43000</v>
      </c>
      <c r="M99" s="3"/>
      <c r="N99" s="20">
        <f>IF(H99=0,0,L99/H99)</f>
        <v>-1</v>
      </c>
      <c r="O99" s="12"/>
      <c r="P99" s="3">
        <f>0</f>
        <v>0</v>
      </c>
      <c r="Q99" s="3"/>
      <c r="R99" s="20">
        <f>IF(P$12=0,0,P99/P$12)</f>
        <v>0</v>
      </c>
      <c r="S99" s="3"/>
      <c r="T99" s="3">
        <v>129000</v>
      </c>
      <c r="U99" s="3"/>
      <c r="V99" s="20">
        <f>IF(T$12=0,0,T99/T$12)</f>
        <v>0</v>
      </c>
      <c r="W99" s="3"/>
      <c r="X99" s="3">
        <f>+P99-T99</f>
        <v>-129000</v>
      </c>
      <c r="Y99" s="3"/>
      <c r="Z99" s="20">
        <f>IF(T99=0,0,X99/T99)</f>
        <v>-1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8" t="s">
        <v>292</v>
      </c>
      <c r="C101" s="28"/>
      <c r="D101" s="21">
        <f>+D17-D19+D97</f>
        <v>-88663.270000000019</v>
      </c>
      <c r="E101" s="15"/>
      <c r="F101" s="22">
        <f>IF(D$12=0,0,D101/D$12)</f>
        <v>0</v>
      </c>
      <c r="G101" s="15"/>
      <c r="H101" s="21">
        <f>+H17-H19+H97</f>
        <v>-78419.397569757683</v>
      </c>
      <c r="I101" s="15"/>
      <c r="J101" s="22">
        <f>IF(H$12=0,0,H101/H$12)</f>
        <v>0</v>
      </c>
      <c r="K101" s="16"/>
      <c r="L101" s="21">
        <f>+D101-H101</f>
        <v>-10243.872430242336</v>
      </c>
      <c r="M101" s="16"/>
      <c r="N101" s="22">
        <f>IF(H101=0,0,L101/H101)</f>
        <v>0.13062931809862396</v>
      </c>
      <c r="O101" s="27"/>
      <c r="P101" s="21">
        <f>+P17-P19+P97</f>
        <v>-953584.40000000037</v>
      </c>
      <c r="Q101" s="15"/>
      <c r="R101" s="22">
        <f>IF(P$12=0,0,P101/P$12)</f>
        <v>0</v>
      </c>
      <c r="S101" s="15"/>
      <c r="T101" s="21">
        <f>+T17-T19+T97</f>
        <v>-980490.51618989231</v>
      </c>
      <c r="U101" s="15"/>
      <c r="V101" s="22">
        <f>IF(T$12=0,0,T101/T$12)</f>
        <v>0</v>
      </c>
      <c r="W101" s="16"/>
      <c r="X101" s="21">
        <f>+P101-T101</f>
        <v>26906.116189891938</v>
      </c>
      <c r="Y101" s="16"/>
      <c r="Z101" s="22">
        <f>IF(T101=0,0,X101/T101)</f>
        <v>-2.7441485405128602E-2</v>
      </c>
    </row>
    <row r="102" spans="1:26" ht="15" customHeight="1" x14ac:dyDescent="0.3">
      <c r="A102" s="10"/>
      <c r="B102" s="11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3" customFormat="1" ht="15" customHeight="1" x14ac:dyDescent="0.3">
      <c r="A103" s="49"/>
      <c r="B103" s="11" t="s">
        <v>293</v>
      </c>
      <c r="C103" s="11"/>
      <c r="D103" s="5"/>
      <c r="E103" s="5"/>
      <c r="F103" s="13">
        <f>IF(D$12=0,0,D103/D$12)</f>
        <v>0</v>
      </c>
      <c r="G103" s="5"/>
      <c r="H103" s="5"/>
      <c r="I103" s="5"/>
      <c r="J103" s="13">
        <f>IF(H$12=0,0,H103/H$12)</f>
        <v>0</v>
      </c>
      <c r="K103" s="5"/>
      <c r="L103" s="5">
        <f>+D103-H103</f>
        <v>0</v>
      </c>
      <c r="M103" s="5"/>
      <c r="N103" s="13">
        <f>IF(H103=0,0,L103/H103)</f>
        <v>0</v>
      </c>
      <c r="O103" s="11"/>
      <c r="P103" s="5"/>
      <c r="Q103" s="5"/>
      <c r="R103" s="13">
        <f>IF(P$12=0,0,P103/P$12)</f>
        <v>0</v>
      </c>
      <c r="S103" s="5"/>
      <c r="T103" s="5"/>
      <c r="U103" s="5"/>
      <c r="V103" s="13">
        <f>IF(T$12=0,0,T103/T$12)</f>
        <v>0</v>
      </c>
      <c r="W103" s="5"/>
      <c r="X103" s="5">
        <f>+P103-T103</f>
        <v>0</v>
      </c>
      <c r="Y103" s="5"/>
      <c r="Z103" s="13">
        <f>IF(T103=0,0,X103/T103)</f>
        <v>0</v>
      </c>
    </row>
    <row r="104" spans="1:26" ht="15" customHeight="1" x14ac:dyDescent="0.3">
      <c r="A104" s="10"/>
      <c r="B104" s="11"/>
      <c r="C104" s="11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O104" s="11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3" customFormat="1" ht="15" customHeight="1" x14ac:dyDescent="0.3">
      <c r="A105" s="11"/>
      <c r="B105" s="28" t="s">
        <v>294</v>
      </c>
      <c r="C105" s="28"/>
      <c r="D105" s="33">
        <f>+D101-D103</f>
        <v>-88663.270000000019</v>
      </c>
      <c r="E105" s="15"/>
      <c r="F105" s="32">
        <f>IF(D$12=0,0,D105/D$12)</f>
        <v>0</v>
      </c>
      <c r="G105" s="15"/>
      <c r="H105" s="33">
        <f>+H101-H103</f>
        <v>-78419.397569757683</v>
      </c>
      <c r="I105" s="15"/>
      <c r="J105" s="32">
        <f>IF(H$12=0,0,H105/H$12)</f>
        <v>0</v>
      </c>
      <c r="K105" s="16"/>
      <c r="L105" s="33">
        <f>D105-H105</f>
        <v>-10243.872430242336</v>
      </c>
      <c r="M105" s="16"/>
      <c r="N105" s="32">
        <f>IF(H105=0,0,L105/H105)</f>
        <v>0.13062931809862396</v>
      </c>
      <c r="O105" s="27"/>
      <c r="P105" s="33">
        <f>+P101-P103</f>
        <v>-953584.40000000037</v>
      </c>
      <c r="Q105" s="15"/>
      <c r="R105" s="32">
        <f>IF(P$12=0,0,P105/P$12)</f>
        <v>0</v>
      </c>
      <c r="S105" s="15"/>
      <c r="T105" s="33">
        <f>+T101-T103</f>
        <v>-980490.51618989231</v>
      </c>
      <c r="U105" s="15"/>
      <c r="V105" s="32">
        <f>IF(T$12=0,0,T105/T$12)</f>
        <v>0</v>
      </c>
      <c r="W105" s="16"/>
      <c r="X105" s="33">
        <f>P105-T105</f>
        <v>26906.116189891938</v>
      </c>
      <c r="Y105" s="16"/>
      <c r="Z105" s="32">
        <f>IF(T105=0,0,X105/T105)</f>
        <v>-2.7441485405128602E-2</v>
      </c>
    </row>
    <row r="106" spans="1:26" ht="15" customHeight="1" x14ac:dyDescent="0.3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ht="15" customHeight="1" x14ac:dyDescent="0.3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s="63" customFormat="1" ht="15" customHeight="1" x14ac:dyDescent="0.3">
      <c r="A108" s="11"/>
      <c r="B108" s="28" t="s">
        <v>297</v>
      </c>
      <c r="C108" s="28"/>
      <c r="D108" s="34">
        <f>SUM(D105:D107)</f>
        <v>-88663.270000000019</v>
      </c>
      <c r="E108" s="15"/>
      <c r="F108" s="30">
        <f>IF(D$12=0,0,D108/D$12)</f>
        <v>0</v>
      </c>
      <c r="G108" s="15"/>
      <c r="H108" s="34">
        <f>SUM(H105:H107)</f>
        <v>-78419.397569757683</v>
      </c>
      <c r="I108" s="15"/>
      <c r="J108" s="30">
        <f>IF(H$12=0,0,H108/H$12)</f>
        <v>0</v>
      </c>
      <c r="K108" s="16"/>
      <c r="L108" s="34">
        <f>+D108-H108</f>
        <v>-10243.872430242336</v>
      </c>
      <c r="M108" s="16"/>
      <c r="N108" s="30">
        <f>IF(H108=0,0,L108/H108)</f>
        <v>0.13062931809862396</v>
      </c>
      <c r="O108" s="27"/>
      <c r="P108" s="34">
        <f>SUM(P105:P107)</f>
        <v>-953584.40000000037</v>
      </c>
      <c r="Q108" s="15"/>
      <c r="R108" s="30">
        <f>IF(P$12=0,0,P108/P$12)</f>
        <v>0</v>
      </c>
      <c r="S108" s="15"/>
      <c r="T108" s="34">
        <f>SUM(T105:T107)</f>
        <v>-980490.51618989231</v>
      </c>
      <c r="U108" s="15"/>
      <c r="V108" s="30">
        <f>IF(T$12=0,0,T108/T$12)</f>
        <v>0</v>
      </c>
      <c r="W108" s="16"/>
      <c r="X108" s="34">
        <f>+P108-T108</f>
        <v>26906.116189891938</v>
      </c>
      <c r="Y108" s="16"/>
      <c r="Z108" s="30">
        <f>IF(T108=0,0,X108/T108)</f>
        <v>-2.7441485405128602E-2</v>
      </c>
    </row>
    <row r="109" spans="1:26" ht="15" customHeight="1" x14ac:dyDescent="0.3">
      <c r="A109" s="10"/>
      <c r="C109" s="10"/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  <row r="110" spans="1:26" ht="15" customHeight="1" x14ac:dyDescent="0.3">
      <c r="A110" s="10"/>
      <c r="B110" s="57">
        <v>44634.883430555557</v>
      </c>
      <c r="D110" s="19"/>
      <c r="E110" s="19"/>
      <c r="G110" s="19"/>
      <c r="H110" s="19"/>
      <c r="I110" s="19"/>
      <c r="J110" s="41"/>
      <c r="K110" s="19"/>
      <c r="L110" s="19"/>
      <c r="M110" s="19"/>
      <c r="P110" s="19"/>
      <c r="Q110" s="19"/>
      <c r="R110" s="41"/>
      <c r="S110" s="19"/>
      <c r="T110" s="19"/>
      <c r="U110" s="19"/>
      <c r="V110" s="41"/>
      <c r="W110" s="19"/>
      <c r="X110" s="19"/>
    </row>
    <row r="111" spans="1:26" ht="15" customHeight="1" x14ac:dyDescent="0.3">
      <c r="A111" s="10"/>
      <c r="B111" s="56" t="s">
        <v>298</v>
      </c>
      <c r="D111" s="19"/>
      <c r="E111" s="19"/>
      <c r="G111" s="19"/>
      <c r="H111" s="19"/>
      <c r="I111" s="19"/>
      <c r="J111" s="41"/>
      <c r="K111" s="19"/>
      <c r="L111" s="19"/>
      <c r="M111" s="19"/>
      <c r="P111" s="19"/>
      <c r="Q111" s="19"/>
      <c r="R111" s="41"/>
      <c r="S111" s="19"/>
      <c r="T111" s="19"/>
      <c r="U111" s="19"/>
      <c r="V111" s="41"/>
      <c r="W111" s="19"/>
      <c r="X111" s="19"/>
    </row>
    <row r="112" spans="1:26" ht="15" customHeight="1" x14ac:dyDescent="0.3">
      <c r="A112" s="10"/>
      <c r="B112" s="54"/>
      <c r="D112" s="19"/>
      <c r="E112" s="19"/>
      <c r="G112" s="19"/>
      <c r="H112" s="19"/>
      <c r="I112" s="19"/>
      <c r="J112" s="41"/>
      <c r="K112" s="19"/>
      <c r="L112" s="19"/>
      <c r="M112" s="19"/>
      <c r="P112" s="19"/>
      <c r="Q112" s="19"/>
      <c r="R112" s="41"/>
      <c r="S112" s="19"/>
      <c r="T112" s="19"/>
      <c r="U112" s="19"/>
      <c r="V112" s="41"/>
      <c r="W112" s="19"/>
      <c r="X112" s="19"/>
    </row>
    <row r="113" spans="4:24" ht="15" customHeight="1" x14ac:dyDescent="0.3">
      <c r="D113" s="19"/>
      <c r="E113" s="19"/>
      <c r="G113" s="19"/>
      <c r="H113" s="19"/>
      <c r="I113" s="19"/>
      <c r="J113" s="41"/>
      <c r="K113" s="19"/>
      <c r="L113" s="19"/>
      <c r="M113" s="19"/>
      <c r="P113" s="19"/>
      <c r="Q113" s="19"/>
      <c r="R113" s="41"/>
      <c r="S113" s="19"/>
      <c r="T113" s="19"/>
      <c r="U113" s="19"/>
      <c r="V113" s="41"/>
      <c r="W113" s="19"/>
      <c r="X113" s="19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FA1D9-E709-5536-C161-E15EA1F6EF3E}">
  <sheetPr>
    <tabColor rgb="FFFFFF0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306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178511.89</v>
      </c>
      <c r="E12" s="5"/>
      <c r="F12" s="13"/>
      <c r="G12" s="5"/>
      <c r="H12" s="5">
        <f>SUM(OSRRefH13x_0)</f>
        <v>196582</v>
      </c>
      <c r="I12" s="5"/>
      <c r="J12" s="13"/>
      <c r="K12" s="5"/>
      <c r="L12" s="5">
        <f t="shared" ref="L12:L17" si="0">+D12-H12</f>
        <v>-18070.109999999986</v>
      </c>
      <c r="M12" s="5"/>
      <c r="N12" s="13">
        <f t="shared" ref="N12:N17" si="1">IF(H12=0,0,L12/H12)</f>
        <v>-9.1921488233917575E-2</v>
      </c>
      <c r="O12" s="11"/>
      <c r="P12" s="5">
        <f>SUM(OSRRefP13x_0)</f>
        <v>2128469.83</v>
      </c>
      <c r="Q12" s="5"/>
      <c r="R12" s="13"/>
      <c r="S12" s="5"/>
      <c r="T12" s="5">
        <f>SUM(OSRRefT13x_0)</f>
        <v>4655491</v>
      </c>
      <c r="U12" s="5"/>
      <c r="V12" s="13"/>
      <c r="W12" s="5"/>
      <c r="X12" s="5">
        <f t="shared" ref="X12:X17" si="2">+P12-T12</f>
        <v>-2527021.17</v>
      </c>
      <c r="Y12" s="5"/>
      <c r="Z12" s="13">
        <f t="shared" ref="Z12:Z17" si="3">IF(T12=0,0,X12/T12)</f>
        <v>-0.54280443673932566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--136556.17</f>
        <v>136556.17000000001</v>
      </c>
      <c r="E13" s="3"/>
      <c r="F13" s="20"/>
      <c r="G13" s="3"/>
      <c r="H13" s="3">
        <v>196582</v>
      </c>
      <c r="I13" s="3"/>
      <c r="J13" s="20"/>
      <c r="K13" s="3"/>
      <c r="L13" s="3">
        <f t="shared" si="0"/>
        <v>-60025.829999999987</v>
      </c>
      <c r="M13" s="3"/>
      <c r="N13" s="20">
        <f t="shared" si="1"/>
        <v>-0.30534753944918652</v>
      </c>
      <c r="O13" s="12"/>
      <c r="P13" s="3">
        <f>--1600518.83</f>
        <v>1600518.83</v>
      </c>
      <c r="Q13" s="3"/>
      <c r="R13" s="20"/>
      <c r="S13" s="3"/>
      <c r="T13" s="3">
        <v>4655491</v>
      </c>
      <c r="U13" s="3"/>
      <c r="V13" s="20"/>
      <c r="W13" s="3"/>
      <c r="X13" s="3">
        <f t="shared" si="2"/>
        <v>-3054972.17</v>
      </c>
      <c r="Y13" s="3"/>
      <c r="Z13" s="20">
        <f t="shared" si="3"/>
        <v>-0.65620837200630389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--53283.48</f>
        <v>53283.48</v>
      </c>
      <c r="E14" s="3"/>
      <c r="F14" s="20"/>
      <c r="G14" s="3"/>
      <c r="H14" s="3">
        <v>0</v>
      </c>
      <c r="I14" s="3"/>
      <c r="J14" s="20"/>
      <c r="K14" s="3"/>
      <c r="L14" s="3">
        <f t="shared" si="0"/>
        <v>53283.48</v>
      </c>
      <c r="M14" s="3"/>
      <c r="N14" s="20">
        <f t="shared" si="1"/>
        <v>0</v>
      </c>
      <c r="O14" s="12"/>
      <c r="P14" s="3">
        <f>--615345.2</f>
        <v>615345.19999999995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615345.19999999995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-4194.35</f>
        <v>-4194.3500000000004</v>
      </c>
      <c r="E15" s="3"/>
      <c r="F15" s="20"/>
      <c r="G15" s="3"/>
      <c r="H15" s="3"/>
      <c r="I15" s="3"/>
      <c r="J15" s="20"/>
      <c r="K15" s="3"/>
      <c r="L15" s="3">
        <f t="shared" si="0"/>
        <v>-4194.3500000000004</v>
      </c>
      <c r="M15" s="3"/>
      <c r="N15" s="20">
        <f t="shared" si="1"/>
        <v>0</v>
      </c>
      <c r="O15" s="12"/>
      <c r="P15" s="3">
        <f>-50832.81</f>
        <v>-50832.81</v>
      </c>
      <c r="Q15" s="3"/>
      <c r="R15" s="20"/>
      <c r="S15" s="3"/>
      <c r="T15" s="3"/>
      <c r="U15" s="3"/>
      <c r="V15" s="20"/>
      <c r="W15" s="3"/>
      <c r="X15" s="3">
        <f t="shared" si="2"/>
        <v>-50832.81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-2947.38</f>
        <v>-2947.38</v>
      </c>
      <c r="E16" s="3"/>
      <c r="F16" s="20"/>
      <c r="G16" s="3"/>
      <c r="H16" s="3"/>
      <c r="I16" s="3"/>
      <c r="J16" s="20"/>
      <c r="K16" s="3"/>
      <c r="L16" s="3">
        <f t="shared" si="0"/>
        <v>-2947.38</v>
      </c>
      <c r="M16" s="3"/>
      <c r="N16" s="20">
        <f t="shared" si="1"/>
        <v>0</v>
      </c>
      <c r="O16" s="12"/>
      <c r="P16" s="3">
        <f>-29348.67</f>
        <v>-29348.67</v>
      </c>
      <c r="Q16" s="3"/>
      <c r="R16" s="20"/>
      <c r="S16" s="3"/>
      <c r="T16" s="3"/>
      <c r="U16" s="3"/>
      <c r="V16" s="20"/>
      <c r="W16" s="3"/>
      <c r="X16" s="3">
        <f t="shared" si="2"/>
        <v>-29348.67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-4186.03</f>
        <v>-4186.03</v>
      </c>
      <c r="E17" s="3"/>
      <c r="F17" s="20"/>
      <c r="G17" s="3"/>
      <c r="H17" s="3"/>
      <c r="I17" s="3"/>
      <c r="J17" s="20"/>
      <c r="K17" s="3"/>
      <c r="L17" s="3">
        <f t="shared" si="0"/>
        <v>-4186.03</v>
      </c>
      <c r="M17" s="3"/>
      <c r="N17" s="20">
        <f t="shared" si="1"/>
        <v>0</v>
      </c>
      <c r="O17" s="12"/>
      <c r="P17" s="3">
        <f>-7212.72</f>
        <v>-7212.72</v>
      </c>
      <c r="Q17" s="3"/>
      <c r="R17" s="20"/>
      <c r="S17" s="3"/>
      <c r="T17" s="3"/>
      <c r="U17" s="3"/>
      <c r="V17" s="20"/>
      <c r="W17" s="3"/>
      <c r="X17" s="3">
        <f t="shared" si="2"/>
        <v>-7212.72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131634.45000000001</v>
      </c>
      <c r="E19" s="5"/>
      <c r="F19" s="13">
        <f t="shared" ref="F19:F29" si="4">IF(D$12=0,0,D19/D$12)</f>
        <v>0.73739878055181651</v>
      </c>
      <c r="G19" s="5"/>
      <c r="H19" s="5">
        <f>SUM(OSRRefH16x_0)</f>
        <v>142181</v>
      </c>
      <c r="I19" s="5"/>
      <c r="J19" s="13">
        <f t="shared" ref="J19:J29" si="5">IF(H$12=0,0,H19/H$12)</f>
        <v>0.72326560926229255</v>
      </c>
      <c r="K19" s="5"/>
      <c r="L19" s="5">
        <f t="shared" ref="L19:L29" si="6">+D19-H19</f>
        <v>-10546.549999999988</v>
      </c>
      <c r="M19" s="5"/>
      <c r="N19" s="13">
        <f t="shared" ref="N19:N29" si="7">IF(H19=0,0,L19/H19)</f>
        <v>-7.4176929406882697E-2</v>
      </c>
      <c r="O19" s="11"/>
      <c r="P19" s="5">
        <f>SUM(OSRRefP16x_0)</f>
        <v>1637976.4000000001</v>
      </c>
      <c r="Q19" s="5"/>
      <c r="R19" s="13">
        <f t="shared" ref="R19:R29" si="8">IF(P$12=0,0,P19/P$12)</f>
        <v>0.76955584566589796</v>
      </c>
      <c r="S19" s="5"/>
      <c r="T19" s="5">
        <f>SUM(OSRRefT16x_0)</f>
        <v>3367417</v>
      </c>
      <c r="U19" s="5"/>
      <c r="V19" s="13">
        <f t="shared" ref="V19:V29" si="9">IF(T$12=0,0,T19/T$12)</f>
        <v>0.72332155727505432</v>
      </c>
      <c r="W19" s="5"/>
      <c r="X19" s="5">
        <f t="shared" ref="X19:X29" si="10">+P19-T19</f>
        <v>-1729440.5999999999</v>
      </c>
      <c r="Y19" s="5"/>
      <c r="Z19" s="13">
        <f t="shared" ref="Z19:Z29" si="11">IF(T19=0,0,X19/T19)</f>
        <v>-0.5135807653165616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179806.3</v>
      </c>
      <c r="E20" s="3"/>
      <c r="F20" s="20">
        <f t="shared" si="4"/>
        <v>1.0072511136373044</v>
      </c>
      <c r="G20" s="3"/>
      <c r="H20" s="3">
        <v>142181</v>
      </c>
      <c r="I20" s="3"/>
      <c r="J20" s="20">
        <f t="shared" si="5"/>
        <v>0.72326560926229255</v>
      </c>
      <c r="K20" s="3"/>
      <c r="L20" s="3">
        <f t="shared" si="6"/>
        <v>37625.299999999988</v>
      </c>
      <c r="M20" s="3"/>
      <c r="N20" s="20">
        <f t="shared" si="7"/>
        <v>0.26462959185826507</v>
      </c>
      <c r="O20" s="12"/>
      <c r="P20" s="3">
        <v>1881949.04</v>
      </c>
      <c r="Q20" s="3"/>
      <c r="R20" s="20">
        <f t="shared" si="8"/>
        <v>0.88417933553702288</v>
      </c>
      <c r="S20" s="3"/>
      <c r="T20" s="3">
        <v>3367417</v>
      </c>
      <c r="U20" s="3"/>
      <c r="V20" s="20">
        <f t="shared" si="9"/>
        <v>0.72332155727505432</v>
      </c>
      <c r="W20" s="3"/>
      <c r="X20" s="3">
        <f t="shared" si="10"/>
        <v>-1485467.96</v>
      </c>
      <c r="Y20" s="3"/>
      <c r="Z20" s="20">
        <f t="shared" si="11"/>
        <v>-0.44112979176621131</v>
      </c>
    </row>
    <row r="21" spans="1:26" s="70" customFormat="1" ht="15" hidden="1" customHeight="1" outlineLevel="1" x14ac:dyDescent="0.3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","5200"," - ","PURCHASES OFFSET")</f>
        <v xml:space="preserve">          5200 - PURCHASES OFFSET</v>
      </c>
      <c r="C24" s="12"/>
      <c r="D24" s="3">
        <v>-166938.59</v>
      </c>
      <c r="E24" s="3"/>
      <c r="F24" s="20">
        <f t="shared" si="4"/>
        <v>-0.93516790394186056</v>
      </c>
      <c r="G24" s="3"/>
      <c r="H24" s="3"/>
      <c r="I24" s="3"/>
      <c r="J24" s="20">
        <f t="shared" si="5"/>
        <v>0</v>
      </c>
      <c r="K24" s="3"/>
      <c r="L24" s="3">
        <f t="shared" si="6"/>
        <v>-166938.59</v>
      </c>
      <c r="M24" s="3"/>
      <c r="N24" s="20">
        <f t="shared" si="7"/>
        <v>0</v>
      </c>
      <c r="O24" s="12"/>
      <c r="P24" s="3">
        <v>-1629298.2</v>
      </c>
      <c r="Q24" s="3"/>
      <c r="R24" s="20">
        <f t="shared" si="8"/>
        <v>-0.76547864434611224</v>
      </c>
      <c r="S24" s="3"/>
      <c r="T24" s="3"/>
      <c r="U24" s="3"/>
      <c r="V24" s="20">
        <f t="shared" si="9"/>
        <v>0</v>
      </c>
      <c r="W24" s="3"/>
      <c r="X24" s="3">
        <f t="shared" si="10"/>
        <v>-1629298.2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","5300"," - ","COG$ OFFSET")</f>
        <v xml:space="preserve">          5300 - COG$ OFFSET</v>
      </c>
      <c r="C25" s="12"/>
      <c r="D25" s="3">
        <v>96980.38</v>
      </c>
      <c r="E25" s="3"/>
      <c r="F25" s="20">
        <f t="shared" si="4"/>
        <v>0.54327126333153497</v>
      </c>
      <c r="G25" s="3"/>
      <c r="H25" s="3"/>
      <c r="I25" s="3"/>
      <c r="J25" s="20">
        <f t="shared" si="5"/>
        <v>0</v>
      </c>
      <c r="K25" s="3"/>
      <c r="L25" s="3">
        <f t="shared" si="6"/>
        <v>96980.38</v>
      </c>
      <c r="M25" s="3"/>
      <c r="N25" s="20">
        <f t="shared" si="7"/>
        <v>0</v>
      </c>
      <c r="O25" s="12"/>
      <c r="P25" s="3">
        <v>1314870.55</v>
      </c>
      <c r="Q25" s="3"/>
      <c r="R25" s="20">
        <f t="shared" si="8"/>
        <v>0.61775390539597175</v>
      </c>
      <c r="S25" s="3"/>
      <c r="T25" s="3"/>
      <c r="U25" s="3"/>
      <c r="V25" s="20">
        <f t="shared" si="9"/>
        <v>0</v>
      </c>
      <c r="W25" s="3"/>
      <c r="X25" s="3">
        <f t="shared" si="10"/>
        <v>1314870.55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","5500"," - ","FREIGHT-IN")</f>
        <v xml:space="preserve">          5500 - FREIGHT-IN</v>
      </c>
      <c r="C26" s="12"/>
      <c r="D26" s="3">
        <v>21786.36</v>
      </c>
      <c r="E26" s="3"/>
      <c r="F26" s="20">
        <f t="shared" si="4"/>
        <v>0.12204430752483769</v>
      </c>
      <c r="G26" s="3"/>
      <c r="H26" s="3"/>
      <c r="I26" s="3"/>
      <c r="J26" s="20">
        <f t="shared" si="5"/>
        <v>0</v>
      </c>
      <c r="K26" s="3"/>
      <c r="L26" s="3">
        <f t="shared" si="6"/>
        <v>21786.36</v>
      </c>
      <c r="M26" s="3"/>
      <c r="N26" s="20">
        <f t="shared" si="7"/>
        <v>0</v>
      </c>
      <c r="O26" s="12"/>
      <c r="P26" s="3">
        <v>70455.009999999995</v>
      </c>
      <c r="Q26" s="3"/>
      <c r="R26" s="20">
        <f t="shared" si="8"/>
        <v>3.3101249079015599E-2</v>
      </c>
      <c r="S26" s="3"/>
      <c r="T26" s="3"/>
      <c r="U26" s="3"/>
      <c r="V26" s="20">
        <f t="shared" si="9"/>
        <v>0</v>
      </c>
      <c r="W26" s="3"/>
      <c r="X26" s="3">
        <f t="shared" si="10"/>
        <v>70455.009999999995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289</v>
      </c>
      <c r="C31" s="28"/>
      <c r="D31" s="21">
        <f>D12-D19</f>
        <v>46877.440000000002</v>
      </c>
      <c r="E31" s="15"/>
      <c r="F31" s="22">
        <f>IF(D$12=0,0,D31/D$12)</f>
        <v>0.26260121944818354</v>
      </c>
      <c r="G31" s="15"/>
      <c r="H31" s="21">
        <f>H12-H19</f>
        <v>54401</v>
      </c>
      <c r="I31" s="15"/>
      <c r="J31" s="22">
        <f>IF(H$12=0,0,H31/H$12)</f>
        <v>0.27673439073770745</v>
      </c>
      <c r="K31" s="16"/>
      <c r="L31" s="21">
        <f>+D31-H31</f>
        <v>-7523.5599999999977</v>
      </c>
      <c r="M31" s="16"/>
      <c r="N31" s="22">
        <f>IF(H31=0,0,L31/H31)</f>
        <v>-0.13829819304792187</v>
      </c>
      <c r="O31" s="27"/>
      <c r="P31" s="21">
        <f>P12-P19</f>
        <v>490493.42999999993</v>
      </c>
      <c r="Q31" s="15"/>
      <c r="R31" s="22">
        <f>IF(P$12=0,0,P31/P$12)</f>
        <v>0.23044415433410204</v>
      </c>
      <c r="S31" s="15"/>
      <c r="T31" s="21">
        <f>T12-T19</f>
        <v>1288074</v>
      </c>
      <c r="U31" s="15"/>
      <c r="V31" s="22">
        <f>IF(T$12=0,0,T31/T$12)</f>
        <v>0.27667844272494568</v>
      </c>
      <c r="W31" s="16"/>
      <c r="X31" s="21">
        <f>+P31-T31</f>
        <v>-797580.57000000007</v>
      </c>
      <c r="Y31" s="16"/>
      <c r="Z31" s="22">
        <f>IF(T31=0,0,X31/T31)</f>
        <v>-0.61920399759641143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7" t="s">
        <v>290</v>
      </c>
      <c r="C33" s="11"/>
      <c r="D33" s="23" cm="1">
        <f t="array" ref="D33">SUM(OSRRefD22x_0)</f>
        <v>29171.58</v>
      </c>
      <c r="E33" s="23"/>
      <c r="F33" s="29">
        <f t="shared" ref="F33:F64" si="12">IF(D$12=0,0,D33/D$12)</f>
        <v>0.16341533328676314</v>
      </c>
      <c r="G33" s="23"/>
      <c r="H33" s="23" cm="1">
        <f t="array" ref="H33">SUM(OSRRefH22x_0)</f>
        <v>47020.095388989714</v>
      </c>
      <c r="I33" s="23"/>
      <c r="J33" s="29">
        <f t="shared" ref="J33:J64" si="13">IF(H$12=0,0,H33/H$12)</f>
        <v>0.23918820334002969</v>
      </c>
      <c r="K33" s="5"/>
      <c r="L33" s="23">
        <f t="shared" ref="L33:L64" si="14">+D33-H33</f>
        <v>-17848.515388989712</v>
      </c>
      <c r="M33" s="5"/>
      <c r="N33" s="29">
        <f t="shared" ref="N33:N64" si="15">IF(H33=0,0,L33/H33)</f>
        <v>-0.37959334708557702</v>
      </c>
      <c r="O33" s="11"/>
      <c r="P33" s="23" cm="1">
        <f t="array" ref="P33">SUM(OSRRefP22x_0)</f>
        <v>361432.13999999996</v>
      </c>
      <c r="Q33" s="23"/>
      <c r="R33" s="29">
        <f t="shared" ref="R33:R64" si="16">IF(P$12=0,0,P33/P$12)</f>
        <v>0.16980843933315229</v>
      </c>
      <c r="S33" s="23"/>
      <c r="T33" s="23" cm="1">
        <f t="array" ref="T33">SUM(OSRRefT22x_0)</f>
        <v>450374.06785866024</v>
      </c>
      <c r="U33" s="23"/>
      <c r="V33" s="29">
        <f t="shared" ref="V33:V64" si="17">IF(T$12=0,0,T33/T$12)</f>
        <v>9.6740401358022227E-2</v>
      </c>
      <c r="W33" s="5"/>
      <c r="X33" s="23">
        <f t="shared" ref="X33:X64" si="18">+P33-T33</f>
        <v>-88941.927858660289</v>
      </c>
      <c r="Y33" s="5"/>
      <c r="Z33" s="29">
        <f t="shared" ref="Z33:Z64" si="19">IF(T33=0,0,X33/T33)</f>
        <v>-0.19748456717666238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-12457.830000000002</v>
      </c>
      <c r="E34" s="2"/>
      <c r="F34" s="6">
        <f t="shared" si="12"/>
        <v>-6.978711614111531E-2</v>
      </c>
      <c r="G34" s="2"/>
      <c r="H34" s="2">
        <f>SUM(OSRRefH22_0x_0)</f>
        <v>13545.311843735913</v>
      </c>
      <c r="I34" s="2"/>
      <c r="J34" s="6">
        <f t="shared" si="13"/>
        <v>6.8904130814295889E-2</v>
      </c>
      <c r="K34" s="2"/>
      <c r="L34" s="2">
        <f t="shared" si="14"/>
        <v>-26003.141843735917</v>
      </c>
      <c r="M34" s="2"/>
      <c r="N34" s="6">
        <f t="shared" si="15"/>
        <v>-1.9197152596941633</v>
      </c>
      <c r="O34" s="14"/>
      <c r="P34" s="2">
        <f>SUM(OSRRefP22_0x_0)</f>
        <v>80694.249999999985</v>
      </c>
      <c r="Q34" s="2"/>
      <c r="R34" s="6">
        <f t="shared" si="16"/>
        <v>3.791185990172103E-2</v>
      </c>
      <c r="S34" s="2"/>
      <c r="T34" s="2">
        <f>SUM(OSRRefT22_0x_0)</f>
        <v>118778.43683768928</v>
      </c>
      <c r="U34" s="2"/>
      <c r="V34" s="6">
        <f t="shared" si="17"/>
        <v>2.5513621836598822E-2</v>
      </c>
      <c r="W34" s="2"/>
      <c r="X34" s="2">
        <f t="shared" si="18"/>
        <v>-38084.186837689296</v>
      </c>
      <c r="Y34" s="2"/>
      <c r="Z34" s="6">
        <f t="shared" si="19"/>
        <v>-0.3206321606145679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8">
        <v>2953.98</v>
      </c>
      <c r="E35" s="3"/>
      <c r="F35" s="7">
        <f t="shared" si="12"/>
        <v>1.6547805303052922E-2</v>
      </c>
      <c r="G35" s="3"/>
      <c r="H35" s="8">
        <v>1967.82450197977</v>
      </c>
      <c r="I35" s="3"/>
      <c r="J35" s="7">
        <f t="shared" si="13"/>
        <v>1.0010196772745063E-2</v>
      </c>
      <c r="K35" s="3"/>
      <c r="L35" s="8">
        <f t="shared" si="14"/>
        <v>986.15549802022997</v>
      </c>
      <c r="M35" s="3"/>
      <c r="N35" s="7">
        <f t="shared" si="15"/>
        <v>0.50113996295304186</v>
      </c>
      <c r="O35" s="12"/>
      <c r="P35" s="8">
        <v>17804.66</v>
      </c>
      <c r="Q35" s="3"/>
      <c r="R35" s="7">
        <f t="shared" si="16"/>
        <v>8.3650046380972197E-3</v>
      </c>
      <c r="S35" s="3"/>
      <c r="T35" s="8">
        <v>19227.089904822999</v>
      </c>
      <c r="U35" s="3"/>
      <c r="V35" s="7">
        <f t="shared" si="17"/>
        <v>4.1299811136619102E-3</v>
      </c>
      <c r="W35" s="3"/>
      <c r="X35" s="8">
        <f t="shared" si="18"/>
        <v>-1422.4299048229987</v>
      </c>
      <c r="Y35" s="3"/>
      <c r="Z35" s="7">
        <f t="shared" si="19"/>
        <v>-7.3980509367992858E-2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8">
        <v>533.20000000000005</v>
      </c>
      <c r="E36" s="3"/>
      <c r="F36" s="7">
        <f t="shared" si="12"/>
        <v>2.9869158855468955E-3</v>
      </c>
      <c r="G36" s="3"/>
      <c r="H36" s="8">
        <v>473.62555548</v>
      </c>
      <c r="I36" s="3"/>
      <c r="J36" s="7">
        <f t="shared" si="13"/>
        <v>2.4093027615956701E-3</v>
      </c>
      <c r="K36" s="3"/>
      <c r="L36" s="8">
        <f t="shared" si="14"/>
        <v>59.574444520000043</v>
      </c>
      <c r="M36" s="3"/>
      <c r="N36" s="7">
        <f t="shared" si="15"/>
        <v>0.12578384724114769</v>
      </c>
      <c r="O36" s="12"/>
      <c r="P36" s="8">
        <v>3445.25</v>
      </c>
      <c r="Q36" s="3"/>
      <c r="R36" s="7">
        <f t="shared" si="16"/>
        <v>1.6186510851318948E-3</v>
      </c>
      <c r="S36" s="3"/>
      <c r="T36" s="8">
        <v>4832.1060004499996</v>
      </c>
      <c r="U36" s="3"/>
      <c r="V36" s="7">
        <f t="shared" si="17"/>
        <v>1.037936922324627E-3</v>
      </c>
      <c r="W36" s="3"/>
      <c r="X36" s="8">
        <f t="shared" si="18"/>
        <v>-1386.8560004499996</v>
      </c>
      <c r="Y36" s="3"/>
      <c r="Z36" s="7">
        <f t="shared" si="19"/>
        <v>-0.28700860459618349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8">
        <v>3017.37</v>
      </c>
      <c r="E37" s="3"/>
      <c r="F37" s="7">
        <f t="shared" si="12"/>
        <v>1.6902907699873661E-2</v>
      </c>
      <c r="G37" s="3"/>
      <c r="H37" s="8">
        <v>5314</v>
      </c>
      <c r="I37" s="3"/>
      <c r="J37" s="7">
        <f t="shared" si="13"/>
        <v>2.7031976478009177E-2</v>
      </c>
      <c r="K37" s="3"/>
      <c r="L37" s="8">
        <f t="shared" si="14"/>
        <v>-2296.63</v>
      </c>
      <c r="M37" s="3"/>
      <c r="N37" s="7">
        <f t="shared" si="15"/>
        <v>-0.43218479488144523</v>
      </c>
      <c r="O37" s="12"/>
      <c r="P37" s="8">
        <v>35089.75</v>
      </c>
      <c r="Q37" s="3"/>
      <c r="R37" s="7">
        <f t="shared" si="16"/>
        <v>1.6485904336262073E-2</v>
      </c>
      <c r="S37" s="3"/>
      <c r="T37" s="8">
        <v>43430</v>
      </c>
      <c r="U37" s="3"/>
      <c r="V37" s="7">
        <f t="shared" si="17"/>
        <v>9.3287689740996164E-3</v>
      </c>
      <c r="W37" s="3"/>
      <c r="X37" s="8">
        <f t="shared" si="18"/>
        <v>-8340.25</v>
      </c>
      <c r="Y37" s="3"/>
      <c r="Z37" s="7">
        <f t="shared" si="19"/>
        <v>-0.19203891319364494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8">
        <v>106.2</v>
      </c>
      <c r="E38" s="3"/>
      <c r="F38" s="7">
        <f t="shared" si="12"/>
        <v>5.9491835529835015E-4</v>
      </c>
      <c r="G38" s="3"/>
      <c r="H38" s="8">
        <v>63.757286314615399</v>
      </c>
      <c r="I38" s="3"/>
      <c r="J38" s="7">
        <f t="shared" si="13"/>
        <v>3.243292179071095E-4</v>
      </c>
      <c r="K38" s="3"/>
      <c r="L38" s="8">
        <f t="shared" si="14"/>
        <v>42.442713685384604</v>
      </c>
      <c r="M38" s="3"/>
      <c r="N38" s="7">
        <f t="shared" si="15"/>
        <v>0.665691972458609</v>
      </c>
      <c r="O38" s="12"/>
      <c r="P38" s="8">
        <v>683.92</v>
      </c>
      <c r="Q38" s="3"/>
      <c r="R38" s="7">
        <f t="shared" si="16"/>
        <v>3.2132003487218792E-4</v>
      </c>
      <c r="S38" s="3"/>
      <c r="T38" s="8">
        <v>650.47580775288395</v>
      </c>
      <c r="U38" s="3"/>
      <c r="V38" s="7">
        <f t="shared" si="17"/>
        <v>1.3972227800523811E-4</v>
      </c>
      <c r="W38" s="3"/>
      <c r="X38" s="8">
        <f t="shared" si="18"/>
        <v>33.444192247116007</v>
      </c>
      <c r="Y38" s="3"/>
      <c r="Z38" s="7">
        <f t="shared" si="19"/>
        <v>5.1414967087940446E-2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8">
        <v>3125.36</v>
      </c>
      <c r="E39" s="3"/>
      <c r="F39" s="7">
        <f t="shared" si="12"/>
        <v>1.7507853398448698E-2</v>
      </c>
      <c r="G39" s="3"/>
      <c r="H39" s="8">
        <v>1664.68278164615</v>
      </c>
      <c r="I39" s="3"/>
      <c r="J39" s="7">
        <f t="shared" si="13"/>
        <v>8.4681343238249187E-3</v>
      </c>
      <c r="K39" s="3"/>
      <c r="L39" s="8">
        <f t="shared" si="14"/>
        <v>1460.6772183538501</v>
      </c>
      <c r="M39" s="3"/>
      <c r="N39" s="7">
        <f t="shared" si="15"/>
        <v>0.87745078789691955</v>
      </c>
      <c r="O39" s="12"/>
      <c r="P39" s="8">
        <v>15371.48</v>
      </c>
      <c r="Q39" s="3"/>
      <c r="R39" s="7">
        <f t="shared" si="16"/>
        <v>7.22184537612168E-3</v>
      </c>
      <c r="S39" s="3"/>
      <c r="T39" s="8">
        <v>14565.9743394038</v>
      </c>
      <c r="U39" s="3"/>
      <c r="V39" s="7">
        <f t="shared" si="17"/>
        <v>3.1287729563656765E-3</v>
      </c>
      <c r="W39" s="3"/>
      <c r="X39" s="8">
        <f t="shared" si="18"/>
        <v>805.50566059619996</v>
      </c>
      <c r="Y39" s="3"/>
      <c r="Z39" s="7">
        <f t="shared" si="19"/>
        <v>5.5300499769325433E-2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8">
        <v>327.02</v>
      </c>
      <c r="E41" s="3"/>
      <c r="F41" s="7">
        <f t="shared" si="12"/>
        <v>1.8319227923697405E-3</v>
      </c>
      <c r="G41" s="3"/>
      <c r="H41" s="8"/>
      <c r="I41" s="3"/>
      <c r="J41" s="7">
        <f t="shared" si="13"/>
        <v>0</v>
      </c>
      <c r="K41" s="3"/>
      <c r="L41" s="8">
        <f t="shared" si="14"/>
        <v>327.02</v>
      </c>
      <c r="M41" s="3"/>
      <c r="N41" s="7">
        <f t="shared" si="15"/>
        <v>0</v>
      </c>
      <c r="O41" s="12"/>
      <c r="P41" s="8">
        <v>2594.2600000000002</v>
      </c>
      <c r="Q41" s="3"/>
      <c r="R41" s="7">
        <f t="shared" si="16"/>
        <v>1.2188380419749713E-3</v>
      </c>
      <c r="S41" s="3"/>
      <c r="T41" s="8"/>
      <c r="U41" s="3"/>
      <c r="V41" s="7">
        <f t="shared" si="17"/>
        <v>0</v>
      </c>
      <c r="W41" s="3"/>
      <c r="X41" s="8">
        <f t="shared" si="18"/>
        <v>2594.2600000000002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8">
        <v>3634.12</v>
      </c>
      <c r="E42" s="3"/>
      <c r="F42" s="7">
        <f t="shared" si="12"/>
        <v>2.0357859636128437E-2</v>
      </c>
      <c r="G42" s="3"/>
      <c r="H42" s="8">
        <v>1689.1935418999999</v>
      </c>
      <c r="I42" s="3"/>
      <c r="J42" s="7">
        <f t="shared" si="13"/>
        <v>8.5928189859702311E-3</v>
      </c>
      <c r="K42" s="3"/>
      <c r="L42" s="8">
        <f t="shared" si="14"/>
        <v>1944.9264581</v>
      </c>
      <c r="M42" s="3"/>
      <c r="N42" s="7">
        <f t="shared" si="15"/>
        <v>1.1513934962789121</v>
      </c>
      <c r="O42" s="12"/>
      <c r="P42" s="8">
        <v>15315</v>
      </c>
      <c r="Q42" s="3"/>
      <c r="R42" s="7">
        <f t="shared" si="16"/>
        <v>7.195309881371445E-3</v>
      </c>
      <c r="S42" s="3"/>
      <c r="T42" s="8">
        <v>14780.443491624999</v>
      </c>
      <c r="U42" s="3"/>
      <c r="V42" s="7">
        <f t="shared" si="17"/>
        <v>3.1748409548262471E-3</v>
      </c>
      <c r="W42" s="3"/>
      <c r="X42" s="8">
        <f t="shared" si="18"/>
        <v>534.5565083750007</v>
      </c>
      <c r="Y42" s="3"/>
      <c r="Z42" s="7">
        <f t="shared" si="19"/>
        <v>3.6166472858402049E-2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8">
        <v>-27254.15</v>
      </c>
      <c r="E43" s="3"/>
      <c r="F43" s="7">
        <f t="shared" si="12"/>
        <v>-0.15267414400239671</v>
      </c>
      <c r="G43" s="3"/>
      <c r="H43" s="8">
        <v>1322.2281764153799</v>
      </c>
      <c r="I43" s="3"/>
      <c r="J43" s="7">
        <f t="shared" si="13"/>
        <v>6.7260897560070601E-3</v>
      </c>
      <c r="K43" s="3"/>
      <c r="L43" s="8">
        <f t="shared" si="14"/>
        <v>-28576.378176415383</v>
      </c>
      <c r="M43" s="3"/>
      <c r="N43" s="7">
        <f t="shared" si="15"/>
        <v>-21.612289532270616</v>
      </c>
      <c r="O43" s="12"/>
      <c r="P43" s="8">
        <v>-16488.240000000002</v>
      </c>
      <c r="Q43" s="3"/>
      <c r="R43" s="7">
        <f t="shared" si="16"/>
        <v>-7.7465227684246768E-3</v>
      </c>
      <c r="S43" s="3"/>
      <c r="T43" s="8">
        <v>12892.347293634601</v>
      </c>
      <c r="U43" s="3"/>
      <c r="V43" s="7">
        <f t="shared" si="17"/>
        <v>2.7692776752515687E-3</v>
      </c>
      <c r="W43" s="3"/>
      <c r="X43" s="8">
        <f t="shared" si="18"/>
        <v>-29380.587293634602</v>
      </c>
      <c r="Y43" s="3"/>
      <c r="Z43" s="7">
        <f t="shared" si="19"/>
        <v>-2.278916835271791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8">
        <v>1099.07</v>
      </c>
      <c r="E44" s="3"/>
      <c r="F44" s="7">
        <f t="shared" si="12"/>
        <v>6.1568447905626898E-3</v>
      </c>
      <c r="G44" s="3"/>
      <c r="H44" s="8">
        <v>1050</v>
      </c>
      <c r="I44" s="3"/>
      <c r="J44" s="7">
        <f t="shared" si="13"/>
        <v>5.3412825182366647E-3</v>
      </c>
      <c r="K44" s="3"/>
      <c r="L44" s="8">
        <f t="shared" si="14"/>
        <v>49.069999999999936</v>
      </c>
      <c r="M44" s="3"/>
      <c r="N44" s="7">
        <f t="shared" si="15"/>
        <v>4.6733333333333273E-2</v>
      </c>
      <c r="O44" s="12"/>
      <c r="P44" s="8">
        <v>6878.17</v>
      </c>
      <c r="Q44" s="3"/>
      <c r="R44" s="7">
        <f t="shared" si="16"/>
        <v>3.2315092763142432E-3</v>
      </c>
      <c r="S44" s="3"/>
      <c r="T44" s="8">
        <v>8400</v>
      </c>
      <c r="U44" s="3"/>
      <c r="V44" s="7">
        <f t="shared" si="17"/>
        <v>1.8043209620639371E-3</v>
      </c>
      <c r="W44" s="3"/>
      <c r="X44" s="8">
        <f t="shared" si="18"/>
        <v>-1521.83</v>
      </c>
      <c r="Y44" s="3"/>
      <c r="Z44" s="7">
        <f t="shared" si="19"/>
        <v>-0.18117023809523808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39884.450000000004</v>
      </c>
      <c r="E45" s="2"/>
      <c r="F45" s="6">
        <f t="shared" si="12"/>
        <v>0.22342741427475785</v>
      </c>
      <c r="G45" s="2"/>
      <c r="H45" s="2">
        <f>SUM(OSRRefH22_1x_0)</f>
        <v>27869.783545253802</v>
      </c>
      <c r="I45" s="2"/>
      <c r="J45" s="6">
        <f t="shared" si="13"/>
        <v>0.14177179774981333</v>
      </c>
      <c r="K45" s="2"/>
      <c r="L45" s="2">
        <f t="shared" si="14"/>
        <v>12014.666454746202</v>
      </c>
      <c r="M45" s="2"/>
      <c r="N45" s="6">
        <f t="shared" si="15"/>
        <v>0.43110009933293109</v>
      </c>
      <c r="O45" s="14"/>
      <c r="P45" s="2">
        <f>SUM(OSRRefP22_1x_0)</f>
        <v>248029.4</v>
      </c>
      <c r="Q45" s="2"/>
      <c r="R45" s="6">
        <f t="shared" si="16"/>
        <v>0.11652944124653154</v>
      </c>
      <c r="S45" s="2"/>
      <c r="T45" s="2">
        <f>SUM(OSRRefT22_1x_0)</f>
        <v>287955.63102097099</v>
      </c>
      <c r="U45" s="2"/>
      <c r="V45" s="6">
        <f t="shared" si="17"/>
        <v>6.1852902523272198E-2</v>
      </c>
      <c r="W45" s="2"/>
      <c r="X45" s="2">
        <f t="shared" si="18"/>
        <v>-39926.231020970998</v>
      </c>
      <c r="Y45" s="2"/>
      <c r="Z45" s="6">
        <f t="shared" si="19"/>
        <v>-0.13865410750749751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8">
        <v>31965.37</v>
      </c>
      <c r="E47" s="3"/>
      <c r="F47" s="7">
        <f t="shared" si="12"/>
        <v>0.17906577539456894</v>
      </c>
      <c r="G47" s="3"/>
      <c r="H47" s="8">
        <v>17293.700777253802</v>
      </c>
      <c r="I47" s="3"/>
      <c r="J47" s="7">
        <f t="shared" si="13"/>
        <v>8.797194441634433E-2</v>
      </c>
      <c r="K47" s="3"/>
      <c r="L47" s="8">
        <f t="shared" si="14"/>
        <v>14671.669222746197</v>
      </c>
      <c r="M47" s="3"/>
      <c r="N47" s="7">
        <f t="shared" si="15"/>
        <v>0.84838227581939363</v>
      </c>
      <c r="O47" s="12"/>
      <c r="P47" s="8">
        <v>155168.93</v>
      </c>
      <c r="Q47" s="3"/>
      <c r="R47" s="7">
        <f t="shared" si="16"/>
        <v>7.2901634692186357E-2</v>
      </c>
      <c r="S47" s="3"/>
      <c r="T47" s="8">
        <v>151319.88180097099</v>
      </c>
      <c r="U47" s="3"/>
      <c r="V47" s="7">
        <f t="shared" si="17"/>
        <v>3.2503527941729671E-2</v>
      </c>
      <c r="W47" s="3"/>
      <c r="X47" s="8">
        <f t="shared" si="18"/>
        <v>3849.0481990289991</v>
      </c>
      <c r="Y47" s="3"/>
      <c r="Z47" s="7">
        <f t="shared" si="19"/>
        <v>2.5436500169168784E-2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8">
        <v>8190.43</v>
      </c>
      <c r="E49" s="3"/>
      <c r="F49" s="7">
        <f t="shared" si="12"/>
        <v>4.5881705694785932E-2</v>
      </c>
      <c r="G49" s="3"/>
      <c r="H49" s="8">
        <v>5928.5827680000002</v>
      </c>
      <c r="I49" s="3"/>
      <c r="J49" s="7">
        <f t="shared" si="13"/>
        <v>3.0158319520607178E-2</v>
      </c>
      <c r="K49" s="3"/>
      <c r="L49" s="8">
        <f t="shared" si="14"/>
        <v>2261.8472320000001</v>
      </c>
      <c r="M49" s="3"/>
      <c r="N49" s="7">
        <f t="shared" si="15"/>
        <v>0.38151567086294241</v>
      </c>
      <c r="O49" s="12"/>
      <c r="P49" s="8">
        <v>50625.31</v>
      </c>
      <c r="Q49" s="3"/>
      <c r="R49" s="7">
        <f t="shared" si="16"/>
        <v>2.3784837955631251E-2</v>
      </c>
      <c r="S49" s="3"/>
      <c r="T49" s="8">
        <v>51875.099219999996</v>
      </c>
      <c r="U49" s="3"/>
      <c r="V49" s="7">
        <f t="shared" si="17"/>
        <v>1.1142777253784831E-2</v>
      </c>
      <c r="W49" s="3"/>
      <c r="X49" s="8">
        <f t="shared" si="18"/>
        <v>-1249.7892199999987</v>
      </c>
      <c r="Y49" s="3"/>
      <c r="Z49" s="7">
        <f t="shared" si="19"/>
        <v>-2.4092276232565803E-2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8"/>
      <c r="E50" s="3"/>
      <c r="F50" s="7">
        <f t="shared" si="12"/>
        <v>0</v>
      </c>
      <c r="G50" s="3"/>
      <c r="H50" s="8">
        <v>1802</v>
      </c>
      <c r="I50" s="3"/>
      <c r="J50" s="7">
        <f t="shared" si="13"/>
        <v>9.1666581884404467E-3</v>
      </c>
      <c r="K50" s="3"/>
      <c r="L50" s="8">
        <f t="shared" si="14"/>
        <v>-1802</v>
      </c>
      <c r="M50" s="3"/>
      <c r="N50" s="7">
        <f t="shared" si="15"/>
        <v>-1</v>
      </c>
      <c r="O50" s="12"/>
      <c r="P50" s="8">
        <v>14698.31</v>
      </c>
      <c r="Q50" s="3"/>
      <c r="R50" s="7">
        <f t="shared" si="16"/>
        <v>6.9055759178883918E-3</v>
      </c>
      <c r="S50" s="3"/>
      <c r="T50" s="8">
        <v>27180.34</v>
      </c>
      <c r="U50" s="3"/>
      <c r="V50" s="7">
        <f t="shared" si="17"/>
        <v>5.8383401450029654E-3</v>
      </c>
      <c r="W50" s="3"/>
      <c r="X50" s="8">
        <f t="shared" si="18"/>
        <v>-12482.03</v>
      </c>
      <c r="Y50" s="3"/>
      <c r="Z50" s="7">
        <f t="shared" si="19"/>
        <v>-0.45923009057281844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8">
        <v>-271.35000000000002</v>
      </c>
      <c r="E52" s="3"/>
      <c r="F52" s="7">
        <f t="shared" si="12"/>
        <v>-1.5200668145970556E-3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-271.35000000000002</v>
      </c>
      <c r="M52" s="3"/>
      <c r="N52" s="7">
        <f t="shared" si="15"/>
        <v>0</v>
      </c>
      <c r="O52" s="12"/>
      <c r="P52" s="8">
        <v>23570.37</v>
      </c>
      <c r="Q52" s="3"/>
      <c r="R52" s="7">
        <f t="shared" si="16"/>
        <v>1.1073856752764026E-2</v>
      </c>
      <c r="S52" s="3"/>
      <c r="T52" s="8">
        <v>26246.25</v>
      </c>
      <c r="U52" s="3"/>
      <c r="V52" s="7">
        <f t="shared" si="17"/>
        <v>5.6376975060203104E-3</v>
      </c>
      <c r="W52" s="3"/>
      <c r="X52" s="8">
        <f t="shared" si="18"/>
        <v>-2675.880000000001</v>
      </c>
      <c r="Y52" s="3"/>
      <c r="Z52" s="7">
        <f t="shared" si="19"/>
        <v>-0.10195285040720106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2845.5</v>
      </c>
      <c r="I53" s="3"/>
      <c r="J53" s="7">
        <f t="shared" si="13"/>
        <v>1.4474875624421362E-2</v>
      </c>
      <c r="K53" s="3"/>
      <c r="L53" s="8">
        <f t="shared" si="14"/>
        <v>-2845.5</v>
      </c>
      <c r="M53" s="3"/>
      <c r="N53" s="7">
        <f t="shared" si="15"/>
        <v>-1</v>
      </c>
      <c r="O53" s="12"/>
      <c r="P53" s="8">
        <v>3966.48</v>
      </c>
      <c r="Q53" s="3"/>
      <c r="R53" s="7">
        <f t="shared" si="16"/>
        <v>1.8635359280615219E-3</v>
      </c>
      <c r="S53" s="3"/>
      <c r="T53" s="8">
        <v>31334.06</v>
      </c>
      <c r="U53" s="3"/>
      <c r="V53" s="7">
        <f t="shared" si="17"/>
        <v>6.7305596767344199E-3</v>
      </c>
      <c r="W53" s="3"/>
      <c r="X53" s="8">
        <f t="shared" si="18"/>
        <v>-27367.58</v>
      </c>
      <c r="Y53" s="3"/>
      <c r="Z53" s="7">
        <f t="shared" si="19"/>
        <v>-0.87341314850357732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40.54</v>
      </c>
      <c r="E56" s="2"/>
      <c r="F56" s="6">
        <f t="shared" si="12"/>
        <v>2.2709971867980333E-4</v>
      </c>
      <c r="G56" s="2"/>
      <c r="H56" s="2">
        <f>SUM(OSRRefH22_2x_0)</f>
        <v>100</v>
      </c>
      <c r="I56" s="2"/>
      <c r="J56" s="6">
        <f t="shared" si="13"/>
        <v>5.086935731653966E-4</v>
      </c>
      <c r="K56" s="2"/>
      <c r="L56" s="2">
        <f t="shared" si="14"/>
        <v>-59.46</v>
      </c>
      <c r="M56" s="2"/>
      <c r="N56" s="6">
        <f t="shared" si="15"/>
        <v>-0.59460000000000002</v>
      </c>
      <c r="O56" s="14"/>
      <c r="P56" s="2">
        <f>SUM(OSRRefP22_2x_0)</f>
        <v>837.79</v>
      </c>
      <c r="Q56" s="2"/>
      <c r="R56" s="6">
        <f t="shared" si="16"/>
        <v>3.9361140486543798E-4</v>
      </c>
      <c r="S56" s="2"/>
      <c r="T56" s="2">
        <f>SUM(OSRRefT22_2x_0)</f>
        <v>2800</v>
      </c>
      <c r="U56" s="2"/>
      <c r="V56" s="6">
        <f t="shared" si="17"/>
        <v>6.0144032068797895E-4</v>
      </c>
      <c r="W56" s="2"/>
      <c r="X56" s="2">
        <f t="shared" si="18"/>
        <v>-1962.21</v>
      </c>
      <c r="Y56" s="2"/>
      <c r="Z56" s="6">
        <f t="shared" si="19"/>
        <v>-0.70078928571428578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8">
        <v>40.54</v>
      </c>
      <c r="E57" s="3"/>
      <c r="F57" s="7">
        <f t="shared" si="12"/>
        <v>2.2709971867980333E-4</v>
      </c>
      <c r="G57" s="3"/>
      <c r="H57" s="8">
        <v>100</v>
      </c>
      <c r="I57" s="3"/>
      <c r="J57" s="7">
        <f t="shared" si="13"/>
        <v>5.086935731653966E-4</v>
      </c>
      <c r="K57" s="3"/>
      <c r="L57" s="8">
        <f t="shared" si="14"/>
        <v>-59.46</v>
      </c>
      <c r="M57" s="3"/>
      <c r="N57" s="7">
        <f t="shared" si="15"/>
        <v>-0.59460000000000002</v>
      </c>
      <c r="O57" s="12"/>
      <c r="P57" s="8">
        <v>837.79</v>
      </c>
      <c r="Q57" s="3"/>
      <c r="R57" s="7">
        <f t="shared" si="16"/>
        <v>3.9361140486543798E-4</v>
      </c>
      <c r="S57" s="3"/>
      <c r="T57" s="8">
        <v>2800</v>
      </c>
      <c r="U57" s="3"/>
      <c r="V57" s="7">
        <f t="shared" si="17"/>
        <v>6.0144032068797895E-4</v>
      </c>
      <c r="W57" s="3"/>
      <c r="X57" s="8">
        <f t="shared" si="18"/>
        <v>-1962.21</v>
      </c>
      <c r="Y57" s="3"/>
      <c r="Z57" s="7">
        <f t="shared" si="19"/>
        <v>-0.70078928571428578</v>
      </c>
    </row>
    <row r="58" spans="1:26" s="69" customFormat="1" ht="15" customHeight="1" outlineLevel="1" collapsed="1" x14ac:dyDescent="0.3">
      <c r="A58" s="25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6.3425846162921651E-7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","6382"," - ","DISCOUNTS/MARK DOWNS")</f>
        <v xml:space="preserve">          6382 - DISCOUNTS/MARK DOWNS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>
        <v>1.35</v>
      </c>
      <c r="Q59" s="3"/>
      <c r="R59" s="7">
        <f t="shared" si="16"/>
        <v>6.3425846162921651E-7</v>
      </c>
      <c r="S59" s="3"/>
      <c r="T59" s="8"/>
      <c r="U59" s="3"/>
      <c r="V59" s="7">
        <f t="shared" si="17"/>
        <v>0</v>
      </c>
      <c r="W59" s="3"/>
      <c r="X59" s="8">
        <f t="shared" si="18"/>
        <v>1.35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2.543467865826983E-4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400</v>
      </c>
      <c r="U60" s="2"/>
      <c r="V60" s="6">
        <f t="shared" si="17"/>
        <v>8.5920045812568424E-5</v>
      </c>
      <c r="W60" s="2"/>
      <c r="X60" s="2">
        <f t="shared" si="18"/>
        <v>-400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50</v>
      </c>
      <c r="I61" s="3"/>
      <c r="J61" s="7">
        <f t="shared" si="13"/>
        <v>2.543467865826983E-4</v>
      </c>
      <c r="K61" s="3"/>
      <c r="L61" s="8">
        <f t="shared" si="14"/>
        <v>-50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400</v>
      </c>
      <c r="U61" s="3"/>
      <c r="V61" s="7">
        <f t="shared" si="17"/>
        <v>8.5920045812568424E-5</v>
      </c>
      <c r="W61" s="3"/>
      <c r="X61" s="8">
        <f t="shared" si="18"/>
        <v>-400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5.1122645107841273E-4</v>
      </c>
      <c r="G62" s="2"/>
      <c r="H62" s="2">
        <f>SUM(OSRRefH22_5x_0)</f>
        <v>100</v>
      </c>
      <c r="I62" s="2"/>
      <c r="J62" s="6">
        <f t="shared" si="13"/>
        <v>5.086935731653966E-4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730.08</v>
      </c>
      <c r="Q62" s="2"/>
      <c r="R62" s="6">
        <f t="shared" si="16"/>
        <v>3.4300697604908029E-4</v>
      </c>
      <c r="S62" s="2"/>
      <c r="T62" s="2">
        <f>SUM(OSRRefT22_5x_0)</f>
        <v>800</v>
      </c>
      <c r="U62" s="2"/>
      <c r="V62" s="6">
        <f t="shared" si="17"/>
        <v>1.7184009162513685E-4</v>
      </c>
      <c r="W62" s="2"/>
      <c r="X62" s="2">
        <f t="shared" si="18"/>
        <v>-69.919999999999959</v>
      </c>
      <c r="Y62" s="2"/>
      <c r="Z62" s="6">
        <f t="shared" si="19"/>
        <v>-8.739999999999995E-2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8">
        <v>91.26</v>
      </c>
      <c r="E63" s="3"/>
      <c r="F63" s="7">
        <f t="shared" si="12"/>
        <v>5.1122645107841273E-4</v>
      </c>
      <c r="G63" s="3"/>
      <c r="H63" s="8">
        <v>100</v>
      </c>
      <c r="I63" s="3"/>
      <c r="J63" s="7">
        <f t="shared" si="13"/>
        <v>5.086935731653966E-4</v>
      </c>
      <c r="K63" s="3"/>
      <c r="L63" s="8">
        <f t="shared" si="14"/>
        <v>-8.7399999999999949</v>
      </c>
      <c r="M63" s="3"/>
      <c r="N63" s="7">
        <f t="shared" si="15"/>
        <v>-8.739999999999995E-2</v>
      </c>
      <c r="O63" s="12"/>
      <c r="P63" s="8">
        <v>730.08</v>
      </c>
      <c r="Q63" s="3"/>
      <c r="R63" s="7">
        <f t="shared" si="16"/>
        <v>3.4300697604908029E-4</v>
      </c>
      <c r="S63" s="3"/>
      <c r="T63" s="8">
        <v>800</v>
      </c>
      <c r="U63" s="3"/>
      <c r="V63" s="7">
        <f t="shared" si="17"/>
        <v>1.7184009162513685E-4</v>
      </c>
      <c r="W63" s="3"/>
      <c r="X63" s="8">
        <f t="shared" si="18"/>
        <v>-69.919999999999959</v>
      </c>
      <c r="Y63" s="3"/>
      <c r="Z63" s="7">
        <f t="shared" si="19"/>
        <v>-8.739999999999995E-2</v>
      </c>
    </row>
    <row r="64" spans="1:26" s="69" customFormat="1" ht="15" customHeight="1" outlineLevel="1" collapsed="1" x14ac:dyDescent="0.3">
      <c r="A64" s="25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1.06</v>
      </c>
      <c r="E64" s="2"/>
      <c r="F64" s="6">
        <f t="shared" si="12"/>
        <v>5.937979817478824E-6</v>
      </c>
      <c r="G64" s="2"/>
      <c r="H64" s="2">
        <f>SUM(OSRRefH22_6x_0)</f>
        <v>1800</v>
      </c>
      <c r="I64" s="2"/>
      <c r="J64" s="6">
        <f t="shared" si="13"/>
        <v>9.1564843169771402E-3</v>
      </c>
      <c r="K64" s="2"/>
      <c r="L64" s="2">
        <f t="shared" si="14"/>
        <v>-1798.94</v>
      </c>
      <c r="M64" s="2"/>
      <c r="N64" s="6">
        <f t="shared" si="15"/>
        <v>-0.99941111111111114</v>
      </c>
      <c r="O64" s="14"/>
      <c r="P64" s="2">
        <f>SUM(OSRRefP22_6x_0)</f>
        <v>5623.17</v>
      </c>
      <c r="Q64" s="2"/>
      <c r="R64" s="6">
        <f t="shared" si="16"/>
        <v>2.6418838175404158E-3</v>
      </c>
      <c r="S64" s="2"/>
      <c r="T64" s="2">
        <f>SUM(OSRRefT22_6x_0)</f>
        <v>10500</v>
      </c>
      <c r="U64" s="2"/>
      <c r="V64" s="6">
        <f t="shared" si="17"/>
        <v>2.2554012025799213E-3</v>
      </c>
      <c r="W64" s="2"/>
      <c r="X64" s="2">
        <f t="shared" si="18"/>
        <v>-4876.83</v>
      </c>
      <c r="Y64" s="2"/>
      <c r="Z64" s="6">
        <f t="shared" si="19"/>
        <v>-0.46445999999999998</v>
      </c>
    </row>
    <row r="65" spans="1:26" s="70" customFormat="1" ht="15" hidden="1" customHeight="1" outlineLevel="2" x14ac:dyDescent="0.3">
      <c r="A65" s="26"/>
      <c r="B65" s="12" t="str">
        <f>CONCATENATE("          ","6305"," - ","FREIGHT OUT")</f>
        <v xml:space="preserve">          6305 - FREIGHT OUT</v>
      </c>
      <c r="C65" s="12"/>
      <c r="D65" s="8"/>
      <c r="E65" s="3"/>
      <c r="F65" s="7">
        <f t="shared" ref="F65:F85" si="20">IF(D$12=0,0,D65/D$12)</f>
        <v>0</v>
      </c>
      <c r="G65" s="3"/>
      <c r="H65" s="8">
        <v>1800</v>
      </c>
      <c r="I65" s="3"/>
      <c r="J65" s="7">
        <f t="shared" ref="J65:J85" si="21">IF(H$12=0,0,H65/H$12)</f>
        <v>9.1564843169771402E-3</v>
      </c>
      <c r="K65" s="3"/>
      <c r="L65" s="8">
        <f t="shared" ref="L65:L85" si="22">+D65-H65</f>
        <v>-1800</v>
      </c>
      <c r="M65" s="3"/>
      <c r="N65" s="7">
        <f t="shared" ref="N65:N85" si="23">IF(H65=0,0,L65/H65)</f>
        <v>-1</v>
      </c>
      <c r="O65" s="12"/>
      <c r="P65" s="8">
        <v>5621.58</v>
      </c>
      <c r="Q65" s="3"/>
      <c r="R65" s="7">
        <f t="shared" ref="R65:R85" si="24">IF(P$12=0,0,P65/P$12)</f>
        <v>2.6411368020189414E-3</v>
      </c>
      <c r="S65" s="3"/>
      <c r="T65" s="8">
        <v>10500</v>
      </c>
      <c r="U65" s="3"/>
      <c r="V65" s="7">
        <f t="shared" ref="V65:V85" si="25">IF(T$12=0,0,T65/T$12)</f>
        <v>2.2554012025799213E-3</v>
      </c>
      <c r="W65" s="3"/>
      <c r="X65" s="8">
        <f t="shared" ref="X65:X85" si="26">+P65-T65</f>
        <v>-4878.42</v>
      </c>
      <c r="Y65" s="3"/>
      <c r="Z65" s="7">
        <f t="shared" ref="Z65:Z85" si="27">IF(T65=0,0,X65/T65)</f>
        <v>-0.46461142857142856</v>
      </c>
    </row>
    <row r="66" spans="1:26" s="70" customFormat="1" ht="15" hidden="1" customHeight="1" outlineLevel="2" x14ac:dyDescent="0.3">
      <c r="A66" s="26"/>
      <c r="B66" s="12" t="str">
        <f>CONCATENATE("          ","6307"," - ","POSTAGE")</f>
        <v xml:space="preserve">          6307 - POSTAGE</v>
      </c>
      <c r="C66" s="12"/>
      <c r="D66" s="8">
        <v>1.06</v>
      </c>
      <c r="E66" s="3"/>
      <c r="F66" s="7">
        <f t="shared" si="20"/>
        <v>5.937979817478824E-6</v>
      </c>
      <c r="G66" s="3"/>
      <c r="H66" s="8"/>
      <c r="I66" s="3"/>
      <c r="J66" s="7">
        <f t="shared" si="21"/>
        <v>0</v>
      </c>
      <c r="K66" s="3"/>
      <c r="L66" s="8">
        <f t="shared" si="22"/>
        <v>1.06</v>
      </c>
      <c r="M66" s="3"/>
      <c r="N66" s="7">
        <f t="shared" si="23"/>
        <v>0</v>
      </c>
      <c r="O66" s="12"/>
      <c r="P66" s="8">
        <v>1.59</v>
      </c>
      <c r="Q66" s="3"/>
      <c r="R66" s="7">
        <f t="shared" si="24"/>
        <v>7.4701552147441053E-7</v>
      </c>
      <c r="S66" s="3"/>
      <c r="T66" s="8"/>
      <c r="U66" s="3"/>
      <c r="V66" s="7">
        <f t="shared" si="25"/>
        <v>0</v>
      </c>
      <c r="W66" s="3"/>
      <c r="X66" s="8">
        <f t="shared" si="26"/>
        <v>1.59</v>
      </c>
      <c r="Y66" s="3"/>
      <c r="Z66" s="7">
        <f t="shared" si="27"/>
        <v>0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125</v>
      </c>
      <c r="I67" s="2"/>
      <c r="J67" s="6">
        <f t="shared" si="21"/>
        <v>6.3586696645674581E-4</v>
      </c>
      <c r="K67" s="2"/>
      <c r="L67" s="2">
        <f t="shared" si="22"/>
        <v>-125</v>
      </c>
      <c r="M67" s="2"/>
      <c r="N67" s="6">
        <f t="shared" si="23"/>
        <v>-1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1500</v>
      </c>
      <c r="U67" s="2"/>
      <c r="V67" s="6">
        <f t="shared" si="25"/>
        <v>3.2220017179713161E-4</v>
      </c>
      <c r="W67" s="2"/>
      <c r="X67" s="2">
        <f t="shared" si="26"/>
        <v>-1500</v>
      </c>
      <c r="Y67" s="2"/>
      <c r="Z67" s="6">
        <f t="shared" si="27"/>
        <v>-1</v>
      </c>
    </row>
    <row r="68" spans="1:26" s="70" customFormat="1" ht="15" hidden="1" customHeight="1" outlineLevel="2" x14ac:dyDescent="0.3">
      <c r="A68" s="26"/>
      <c r="B68" s="12" t="str">
        <f>CONCATENATE("          ","6279"," - ","GENERAL EXPENSE")</f>
        <v xml:space="preserve">          6279 - GENERAL EXPENSE</v>
      </c>
      <c r="C68" s="12"/>
      <c r="D68" s="8"/>
      <c r="E68" s="3"/>
      <c r="F68" s="7">
        <f t="shared" si="20"/>
        <v>0</v>
      </c>
      <c r="G68" s="3"/>
      <c r="H68" s="8">
        <v>125</v>
      </c>
      <c r="I68" s="3"/>
      <c r="J68" s="7">
        <f t="shared" si="21"/>
        <v>6.3586696645674581E-4</v>
      </c>
      <c r="K68" s="3"/>
      <c r="L68" s="8">
        <f t="shared" si="22"/>
        <v>-125</v>
      </c>
      <c r="M68" s="3"/>
      <c r="N68" s="7">
        <f t="shared" si="23"/>
        <v>-1</v>
      </c>
      <c r="O68" s="12"/>
      <c r="P68" s="8"/>
      <c r="Q68" s="3"/>
      <c r="R68" s="7">
        <f t="shared" si="24"/>
        <v>0</v>
      </c>
      <c r="S68" s="3"/>
      <c r="T68" s="8">
        <v>1500</v>
      </c>
      <c r="U68" s="3"/>
      <c r="V68" s="7">
        <f t="shared" si="25"/>
        <v>3.2220017179713161E-4</v>
      </c>
      <c r="W68" s="3"/>
      <c r="X68" s="8">
        <f t="shared" si="26"/>
        <v>-1500</v>
      </c>
      <c r="Y68" s="3"/>
      <c r="Z68" s="7">
        <f t="shared" si="27"/>
        <v>-1</v>
      </c>
    </row>
    <row r="69" spans="1:26" s="69" customFormat="1" ht="15" customHeight="1" outlineLevel="1" collapsed="1" x14ac:dyDescent="0.3">
      <c r="A69" s="25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5.6018677523385135E-3</v>
      </c>
      <c r="G69" s="2"/>
      <c r="H69" s="2">
        <f>SUM(OSRRefH22_8x_0)</f>
        <v>1000</v>
      </c>
      <c r="I69" s="2"/>
      <c r="J69" s="6">
        <f t="shared" si="21"/>
        <v>5.0869357316539665E-3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12000</v>
      </c>
      <c r="Q69" s="2"/>
      <c r="R69" s="6">
        <f t="shared" si="24"/>
        <v>5.637852992259702E-3</v>
      </c>
      <c r="S69" s="2"/>
      <c r="T69" s="2">
        <f>SUM(OSRRefT22_8x_0)</f>
        <v>12000</v>
      </c>
      <c r="U69" s="2"/>
      <c r="V69" s="6">
        <f t="shared" si="25"/>
        <v>2.5776013743770529E-3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3">
      <c r="A70" s="26"/>
      <c r="B70" s="12" t="str">
        <f>CONCATENATE("          ","6408"," - ","INVENTORY ADJUSTMENT")</f>
        <v xml:space="preserve">          6408 - INVENTORY ADJUSTMENT</v>
      </c>
      <c r="C70" s="12"/>
      <c r="D70" s="8">
        <v>1000</v>
      </c>
      <c r="E70" s="3"/>
      <c r="F70" s="7">
        <f t="shared" si="20"/>
        <v>5.6018677523385135E-3</v>
      </c>
      <c r="G70" s="3"/>
      <c r="H70" s="8">
        <v>1000</v>
      </c>
      <c r="I70" s="3"/>
      <c r="J70" s="7">
        <f t="shared" si="21"/>
        <v>5.0869357316539665E-3</v>
      </c>
      <c r="K70" s="3"/>
      <c r="L70" s="8">
        <f t="shared" si="22"/>
        <v>0</v>
      </c>
      <c r="M70" s="3"/>
      <c r="N70" s="7">
        <f t="shared" si="23"/>
        <v>0</v>
      </c>
      <c r="O70" s="12"/>
      <c r="P70" s="8">
        <v>12000</v>
      </c>
      <c r="Q70" s="3"/>
      <c r="R70" s="7">
        <f t="shared" si="24"/>
        <v>5.637852992259702E-3</v>
      </c>
      <c r="S70" s="3"/>
      <c r="T70" s="8">
        <v>12000</v>
      </c>
      <c r="U70" s="3"/>
      <c r="V70" s="7">
        <f t="shared" si="25"/>
        <v>2.5776013743770529E-3</v>
      </c>
      <c r="W70" s="3"/>
      <c r="X70" s="8">
        <f t="shared" si="26"/>
        <v>0</v>
      </c>
      <c r="Y70" s="3"/>
      <c r="Z70" s="7">
        <f t="shared" si="27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16.850000000000001</v>
      </c>
      <c r="E71" s="2"/>
      <c r="F71" s="6">
        <f t="shared" si="20"/>
        <v>9.4391471626903951E-5</v>
      </c>
      <c r="G71" s="2"/>
      <c r="H71" s="2">
        <f>SUM(OSRRefH22_9x_0)</f>
        <v>80</v>
      </c>
      <c r="I71" s="2"/>
      <c r="J71" s="6">
        <f t="shared" si="21"/>
        <v>4.0695485853231729E-4</v>
      </c>
      <c r="K71" s="2"/>
      <c r="L71" s="2">
        <f t="shared" si="22"/>
        <v>-63.15</v>
      </c>
      <c r="M71" s="2"/>
      <c r="N71" s="6">
        <f t="shared" si="23"/>
        <v>-0.78937499999999994</v>
      </c>
      <c r="O71" s="14"/>
      <c r="P71" s="2">
        <f>SUM(OSRRefP22_9x_0)</f>
        <v>5895.85</v>
      </c>
      <c r="Q71" s="2"/>
      <c r="R71" s="6">
        <f t="shared" si="24"/>
        <v>2.7699946303678638E-3</v>
      </c>
      <c r="S71" s="2"/>
      <c r="T71" s="2">
        <f>SUM(OSRRefT22_9x_0)</f>
        <v>640</v>
      </c>
      <c r="U71" s="2"/>
      <c r="V71" s="6">
        <f t="shared" si="25"/>
        <v>1.3747207330010947E-4</v>
      </c>
      <c r="W71" s="2"/>
      <c r="X71" s="2">
        <f t="shared" si="26"/>
        <v>5255.85</v>
      </c>
      <c r="Y71" s="2"/>
      <c r="Z71" s="6">
        <f t="shared" si="27"/>
        <v>8.2122656250000006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8"/>
      <c r="E72" s="3"/>
      <c r="F72" s="7">
        <f t="shared" si="20"/>
        <v>0</v>
      </c>
      <c r="G72" s="3"/>
      <c r="H72" s="8"/>
      <c r="I72" s="3"/>
      <c r="J72" s="7">
        <f t="shared" si="21"/>
        <v>0</v>
      </c>
      <c r="K72" s="3"/>
      <c r="L72" s="8">
        <f t="shared" si="22"/>
        <v>0</v>
      </c>
      <c r="M72" s="3"/>
      <c r="N72" s="7">
        <f t="shared" si="23"/>
        <v>0</v>
      </c>
      <c r="O72" s="12"/>
      <c r="P72" s="8">
        <v>5775</v>
      </c>
      <c r="Q72" s="3"/>
      <c r="R72" s="7">
        <f t="shared" si="24"/>
        <v>2.7132167525249816E-3</v>
      </c>
      <c r="S72" s="3"/>
      <c r="T72" s="8"/>
      <c r="U72" s="3"/>
      <c r="V72" s="7">
        <f t="shared" si="25"/>
        <v>0</v>
      </c>
      <c r="W72" s="3"/>
      <c r="X72" s="8">
        <f t="shared" si="26"/>
        <v>5775</v>
      </c>
      <c r="Y72" s="3"/>
      <c r="Z72" s="7">
        <f t="shared" si="27"/>
        <v>0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8">
        <v>16.850000000000001</v>
      </c>
      <c r="E73" s="3"/>
      <c r="F73" s="7">
        <f t="shared" si="20"/>
        <v>9.4391471626903951E-5</v>
      </c>
      <c r="G73" s="3"/>
      <c r="H73" s="8">
        <v>40</v>
      </c>
      <c r="I73" s="3"/>
      <c r="J73" s="7">
        <f t="shared" si="21"/>
        <v>2.0347742926615865E-4</v>
      </c>
      <c r="K73" s="3"/>
      <c r="L73" s="8">
        <f t="shared" si="22"/>
        <v>-23.15</v>
      </c>
      <c r="M73" s="3"/>
      <c r="N73" s="7">
        <f t="shared" si="23"/>
        <v>-0.57874999999999999</v>
      </c>
      <c r="O73" s="12"/>
      <c r="P73" s="8">
        <v>120.85</v>
      </c>
      <c r="Q73" s="3"/>
      <c r="R73" s="7">
        <f t="shared" si="24"/>
        <v>5.677787784288208E-5</v>
      </c>
      <c r="S73" s="3"/>
      <c r="T73" s="8">
        <v>320</v>
      </c>
      <c r="U73" s="3"/>
      <c r="V73" s="7">
        <f t="shared" si="25"/>
        <v>6.8736036650054736E-5</v>
      </c>
      <c r="W73" s="3"/>
      <c r="X73" s="8">
        <f t="shared" si="26"/>
        <v>-199.15</v>
      </c>
      <c r="Y73" s="3"/>
      <c r="Z73" s="7">
        <f t="shared" si="27"/>
        <v>-0.62234374999999997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8"/>
      <c r="E74" s="3"/>
      <c r="F74" s="7">
        <f t="shared" si="20"/>
        <v>0</v>
      </c>
      <c r="G74" s="3"/>
      <c r="H74" s="8">
        <v>40</v>
      </c>
      <c r="I74" s="3"/>
      <c r="J74" s="7">
        <f t="shared" si="21"/>
        <v>2.0347742926615865E-4</v>
      </c>
      <c r="K74" s="3"/>
      <c r="L74" s="8">
        <f t="shared" si="22"/>
        <v>-40</v>
      </c>
      <c r="M74" s="3"/>
      <c r="N74" s="7">
        <f t="shared" si="23"/>
        <v>-1</v>
      </c>
      <c r="O74" s="12"/>
      <c r="P74" s="8"/>
      <c r="Q74" s="3"/>
      <c r="R74" s="7">
        <f t="shared" si="24"/>
        <v>0</v>
      </c>
      <c r="S74" s="3"/>
      <c r="T74" s="8">
        <v>320</v>
      </c>
      <c r="U74" s="3"/>
      <c r="V74" s="7">
        <f t="shared" si="25"/>
        <v>6.8736036650054736E-5</v>
      </c>
      <c r="W74" s="3"/>
      <c r="X74" s="8">
        <f t="shared" si="26"/>
        <v>-320</v>
      </c>
      <c r="Y74" s="3"/>
      <c r="Z74" s="7">
        <f t="shared" si="27"/>
        <v>-1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131.72</v>
      </c>
      <c r="E75" s="2"/>
      <c r="F75" s="6">
        <f t="shared" si="20"/>
        <v>7.3787802033802898E-4</v>
      </c>
      <c r="G75" s="2"/>
      <c r="H75" s="2">
        <f>SUM(OSRRefH22_10x_0)</f>
        <v>300</v>
      </c>
      <c r="I75" s="2"/>
      <c r="J75" s="6">
        <f t="shared" si="21"/>
        <v>1.5260807194961898E-3</v>
      </c>
      <c r="K75" s="2"/>
      <c r="L75" s="2">
        <f t="shared" si="22"/>
        <v>-168.28</v>
      </c>
      <c r="M75" s="2"/>
      <c r="N75" s="6">
        <f t="shared" si="23"/>
        <v>-0.56093333333333328</v>
      </c>
      <c r="O75" s="14"/>
      <c r="P75" s="2">
        <f>SUM(OSRRefP22_10x_0)</f>
        <v>1945.45</v>
      </c>
      <c r="Q75" s="2"/>
      <c r="R75" s="6">
        <f t="shared" si="24"/>
        <v>9.1401342531596981E-4</v>
      </c>
      <c r="S75" s="2"/>
      <c r="T75" s="2">
        <f>SUM(OSRRefT22_10x_0)</f>
        <v>4300</v>
      </c>
      <c r="U75" s="2"/>
      <c r="V75" s="6">
        <f t="shared" si="25"/>
        <v>9.2364049248511062E-4</v>
      </c>
      <c r="W75" s="2"/>
      <c r="X75" s="2">
        <f t="shared" si="26"/>
        <v>-2354.5500000000002</v>
      </c>
      <c r="Y75" s="2"/>
      <c r="Z75" s="6">
        <f t="shared" si="27"/>
        <v>-0.54756976744186048</v>
      </c>
    </row>
    <row r="76" spans="1:26" s="70" customFormat="1" ht="15" hidden="1" customHeight="1" outlineLevel="2" x14ac:dyDescent="0.3">
      <c r="A76" s="26"/>
      <c r="B76" s="12" t="str">
        <f>CONCATENATE("          ","6258"," - ","MEMBERSHIP DUES")</f>
        <v xml:space="preserve">          6258 - MEMBERSHIP DUES</v>
      </c>
      <c r="C76" s="12"/>
      <c r="D76" s="8">
        <v>131.72</v>
      </c>
      <c r="E76" s="3"/>
      <c r="F76" s="7">
        <f t="shared" si="20"/>
        <v>7.3787802033802898E-4</v>
      </c>
      <c r="G76" s="3"/>
      <c r="H76" s="8">
        <v>300</v>
      </c>
      <c r="I76" s="3"/>
      <c r="J76" s="7">
        <f t="shared" si="21"/>
        <v>1.5260807194961898E-3</v>
      </c>
      <c r="K76" s="3"/>
      <c r="L76" s="8">
        <f t="shared" si="22"/>
        <v>-168.28</v>
      </c>
      <c r="M76" s="3"/>
      <c r="N76" s="7">
        <f t="shared" si="23"/>
        <v>-0.56093333333333328</v>
      </c>
      <c r="O76" s="12"/>
      <c r="P76" s="8">
        <v>1945.45</v>
      </c>
      <c r="Q76" s="3"/>
      <c r="R76" s="7">
        <f t="shared" si="24"/>
        <v>9.1401342531596981E-4</v>
      </c>
      <c r="S76" s="3"/>
      <c r="T76" s="8">
        <v>2400</v>
      </c>
      <c r="U76" s="3"/>
      <c r="V76" s="7">
        <f t="shared" si="25"/>
        <v>5.1552027487541052E-4</v>
      </c>
      <c r="W76" s="3"/>
      <c r="X76" s="8">
        <f t="shared" si="26"/>
        <v>-454.54999999999995</v>
      </c>
      <c r="Y76" s="3"/>
      <c r="Z76" s="7">
        <f t="shared" si="27"/>
        <v>-0.18939583333333332</v>
      </c>
    </row>
    <row r="77" spans="1:26" s="70" customFormat="1" ht="15" hidden="1" customHeight="1" outlineLevel="2" x14ac:dyDescent="0.3">
      <c r="A77" s="26"/>
      <c r="B77" s="12" t="str">
        <f>CONCATENATE("          ","6275"," - ","SUBSCRIPTIONS")</f>
        <v xml:space="preserve">          6275 - SUBSCRIPTIONS</v>
      </c>
      <c r="C77" s="12"/>
      <c r="D77" s="8"/>
      <c r="E77" s="3"/>
      <c r="F77" s="7">
        <f t="shared" si="20"/>
        <v>0</v>
      </c>
      <c r="G77" s="3"/>
      <c r="H77" s="8"/>
      <c r="I77" s="3"/>
      <c r="J77" s="7">
        <f t="shared" si="21"/>
        <v>0</v>
      </c>
      <c r="K77" s="3"/>
      <c r="L77" s="8">
        <f t="shared" si="22"/>
        <v>0</v>
      </c>
      <c r="M77" s="3"/>
      <c r="N77" s="7">
        <f t="shared" si="23"/>
        <v>0</v>
      </c>
      <c r="O77" s="12"/>
      <c r="P77" s="8"/>
      <c r="Q77" s="3"/>
      <c r="R77" s="7">
        <f t="shared" si="24"/>
        <v>0</v>
      </c>
      <c r="S77" s="3"/>
      <c r="T77" s="8">
        <v>1900</v>
      </c>
      <c r="U77" s="3"/>
      <c r="V77" s="7">
        <f t="shared" si="25"/>
        <v>4.0812021760970005E-4</v>
      </c>
      <c r="W77" s="3"/>
      <c r="X77" s="8">
        <f t="shared" si="26"/>
        <v>-1900</v>
      </c>
      <c r="Y77" s="3"/>
      <c r="Z77" s="7">
        <f t="shared" si="27"/>
        <v>-1</v>
      </c>
    </row>
    <row r="78" spans="1:26" s="69" customFormat="1" ht="15" customHeight="1" outlineLevel="1" collapsed="1" x14ac:dyDescent="0.3">
      <c r="A78" s="25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77.47999999999999</v>
      </c>
      <c r="E78" s="2"/>
      <c r="F78" s="6">
        <f t="shared" si="20"/>
        <v>4.3403271345118793E-4</v>
      </c>
      <c r="G78" s="2"/>
      <c r="H78" s="2">
        <f>SUM(OSRRefH22_11x_0)</f>
        <v>1700</v>
      </c>
      <c r="I78" s="2"/>
      <c r="J78" s="6">
        <f t="shared" si="21"/>
        <v>8.6477907438117421E-3</v>
      </c>
      <c r="K78" s="2"/>
      <c r="L78" s="2">
        <f t="shared" si="22"/>
        <v>-1622.52</v>
      </c>
      <c r="M78" s="2"/>
      <c r="N78" s="6">
        <f t="shared" si="23"/>
        <v>-0.95442352941176467</v>
      </c>
      <c r="O78" s="14"/>
      <c r="P78" s="2">
        <f>SUM(OSRRefP22_11x_0)</f>
        <v>1198.25</v>
      </c>
      <c r="Q78" s="2"/>
      <c r="R78" s="6">
        <f t="shared" si="24"/>
        <v>5.6296311233126569E-4</v>
      </c>
      <c r="S78" s="2"/>
      <c r="T78" s="2">
        <f>SUM(OSRRefT22_11x_0)</f>
        <v>7300</v>
      </c>
      <c r="U78" s="2"/>
      <c r="V78" s="6">
        <f t="shared" si="25"/>
        <v>1.5680408360793738E-3</v>
      </c>
      <c r="W78" s="2"/>
      <c r="X78" s="2">
        <f t="shared" si="26"/>
        <v>-6101.75</v>
      </c>
      <c r="Y78" s="2"/>
      <c r="Z78" s="6">
        <f t="shared" si="27"/>
        <v>-0.83585616438356169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8">
        <v>70.989999999999995</v>
      </c>
      <c r="E79" s="3"/>
      <c r="F79" s="7">
        <f t="shared" si="20"/>
        <v>3.9767659173851102E-4</v>
      </c>
      <c r="G79" s="3"/>
      <c r="H79" s="8">
        <v>500</v>
      </c>
      <c r="I79" s="3"/>
      <c r="J79" s="7">
        <f t="shared" si="21"/>
        <v>2.5434678658269832E-3</v>
      </c>
      <c r="K79" s="3"/>
      <c r="L79" s="8">
        <f t="shared" si="22"/>
        <v>-429.01</v>
      </c>
      <c r="M79" s="3"/>
      <c r="N79" s="7">
        <f t="shared" si="23"/>
        <v>-0.85802</v>
      </c>
      <c r="O79" s="12"/>
      <c r="P79" s="8">
        <v>1191.76</v>
      </c>
      <c r="Q79" s="3"/>
      <c r="R79" s="7">
        <f t="shared" si="24"/>
        <v>5.599139735046186E-4</v>
      </c>
      <c r="S79" s="3"/>
      <c r="T79" s="8">
        <v>3600</v>
      </c>
      <c r="U79" s="3"/>
      <c r="V79" s="7">
        <f t="shared" si="25"/>
        <v>7.7328041231311583E-4</v>
      </c>
      <c r="W79" s="3"/>
      <c r="X79" s="8">
        <f t="shared" si="26"/>
        <v>-2408.2399999999998</v>
      </c>
      <c r="Y79" s="3"/>
      <c r="Z79" s="7">
        <f t="shared" si="27"/>
        <v>-0.66895555555555553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8">
        <v>6.49</v>
      </c>
      <c r="E80" s="3"/>
      <c r="F80" s="7">
        <f t="shared" si="20"/>
        <v>3.6356121712676954E-5</v>
      </c>
      <c r="G80" s="3"/>
      <c r="H80" s="8">
        <v>1200</v>
      </c>
      <c r="I80" s="3"/>
      <c r="J80" s="7">
        <f t="shared" si="21"/>
        <v>6.1043228779847592E-3</v>
      </c>
      <c r="K80" s="3"/>
      <c r="L80" s="8">
        <f t="shared" si="22"/>
        <v>-1193.51</v>
      </c>
      <c r="M80" s="3"/>
      <c r="N80" s="7">
        <f t="shared" si="23"/>
        <v>-0.99459166666666665</v>
      </c>
      <c r="O80" s="12"/>
      <c r="P80" s="8">
        <v>6.49</v>
      </c>
      <c r="Q80" s="3"/>
      <c r="R80" s="7">
        <f t="shared" si="24"/>
        <v>3.0491388266471223E-6</v>
      </c>
      <c r="S80" s="3"/>
      <c r="T80" s="8">
        <v>3700</v>
      </c>
      <c r="U80" s="3"/>
      <c r="V80" s="7">
        <f t="shared" si="25"/>
        <v>7.9476042376625791E-4</v>
      </c>
      <c r="W80" s="3"/>
      <c r="X80" s="8">
        <f t="shared" si="26"/>
        <v>-3693.51</v>
      </c>
      <c r="Y80" s="3"/>
      <c r="Z80" s="7">
        <f t="shared" si="27"/>
        <v>-0.99824594594594596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386.05</v>
      </c>
      <c r="E81" s="2"/>
      <c r="F81" s="6">
        <f t="shared" si="20"/>
        <v>2.1626010457902831E-3</v>
      </c>
      <c r="G81" s="2"/>
      <c r="H81" s="2">
        <f>SUM(OSRRefH22_12x_0)</f>
        <v>350</v>
      </c>
      <c r="I81" s="2"/>
      <c r="J81" s="6">
        <f t="shared" si="21"/>
        <v>1.7804275060788882E-3</v>
      </c>
      <c r="K81" s="2"/>
      <c r="L81" s="2">
        <f t="shared" si="22"/>
        <v>36.050000000000011</v>
      </c>
      <c r="M81" s="2"/>
      <c r="N81" s="6">
        <f t="shared" si="23"/>
        <v>0.10300000000000004</v>
      </c>
      <c r="O81" s="14"/>
      <c r="P81" s="2">
        <f>SUM(OSRRefP22_12x_0)</f>
        <v>4476.55</v>
      </c>
      <c r="Q81" s="2"/>
      <c r="R81" s="6">
        <f t="shared" si="24"/>
        <v>2.1031775677083477E-3</v>
      </c>
      <c r="S81" s="2"/>
      <c r="T81" s="2">
        <f>SUM(OSRRefT22_12x_0)</f>
        <v>3400</v>
      </c>
      <c r="U81" s="2"/>
      <c r="V81" s="6">
        <f t="shared" si="25"/>
        <v>7.3032038940683166E-4</v>
      </c>
      <c r="W81" s="2"/>
      <c r="X81" s="2">
        <f t="shared" si="26"/>
        <v>1076.5500000000002</v>
      </c>
      <c r="Y81" s="2"/>
      <c r="Z81" s="6">
        <f t="shared" si="27"/>
        <v>0.31663235294117653</v>
      </c>
    </row>
    <row r="82" spans="1:26" s="70" customFormat="1" ht="15" hidden="1" customHeight="1" outlineLevel="2" x14ac:dyDescent="0.3">
      <c r="A82" s="26"/>
      <c r="B82" s="12" t="str">
        <f>CONCATENATE("          ","6303"," - ","DATA PHONE LINES")</f>
        <v xml:space="preserve">          6303 - DATA PHONE LINES</v>
      </c>
      <c r="C82" s="12"/>
      <c r="D82" s="8"/>
      <c r="E82" s="3"/>
      <c r="F82" s="7">
        <f t="shared" si="20"/>
        <v>0</v>
      </c>
      <c r="G82" s="3"/>
      <c r="H82" s="8">
        <v>0</v>
      </c>
      <c r="I82" s="3"/>
      <c r="J82" s="7">
        <f t="shared" si="21"/>
        <v>0</v>
      </c>
      <c r="K82" s="3"/>
      <c r="L82" s="8">
        <f t="shared" si="22"/>
        <v>0</v>
      </c>
      <c r="M82" s="3"/>
      <c r="N82" s="7">
        <f t="shared" si="23"/>
        <v>0</v>
      </c>
      <c r="O82" s="12"/>
      <c r="P82" s="8">
        <v>295</v>
      </c>
      <c r="Q82" s="3"/>
      <c r="R82" s="7">
        <f t="shared" si="24"/>
        <v>1.3859721939305102E-4</v>
      </c>
      <c r="S82" s="3"/>
      <c r="T82" s="8">
        <v>0</v>
      </c>
      <c r="U82" s="3"/>
      <c r="V82" s="7">
        <f t="shared" si="25"/>
        <v>0</v>
      </c>
      <c r="W82" s="3"/>
      <c r="X82" s="8">
        <f t="shared" si="26"/>
        <v>295</v>
      </c>
      <c r="Y82" s="3"/>
      <c r="Z82" s="7">
        <f t="shared" si="27"/>
        <v>0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8">
        <v>386.05</v>
      </c>
      <c r="E83" s="3"/>
      <c r="F83" s="7">
        <f t="shared" si="20"/>
        <v>2.1626010457902831E-3</v>
      </c>
      <c r="G83" s="3"/>
      <c r="H83" s="8">
        <v>350</v>
      </c>
      <c r="I83" s="3"/>
      <c r="J83" s="7">
        <f t="shared" si="21"/>
        <v>1.7804275060788882E-3</v>
      </c>
      <c r="K83" s="3"/>
      <c r="L83" s="8">
        <f t="shared" si="22"/>
        <v>36.050000000000011</v>
      </c>
      <c r="M83" s="3"/>
      <c r="N83" s="7">
        <f t="shared" si="23"/>
        <v>0.10300000000000004</v>
      </c>
      <c r="O83" s="12"/>
      <c r="P83" s="8">
        <v>4181.55</v>
      </c>
      <c r="Q83" s="3"/>
      <c r="R83" s="7">
        <f t="shared" si="24"/>
        <v>1.9645803483152964E-3</v>
      </c>
      <c r="S83" s="3"/>
      <c r="T83" s="8">
        <v>3400</v>
      </c>
      <c r="U83" s="3"/>
      <c r="V83" s="7">
        <f t="shared" si="25"/>
        <v>7.3032038940683166E-4</v>
      </c>
      <c r="W83" s="3"/>
      <c r="X83" s="8">
        <f t="shared" si="26"/>
        <v>781.55000000000018</v>
      </c>
      <c r="Y83" s="3"/>
      <c r="Z83" s="7">
        <f t="shared" si="27"/>
        <v>0.22986764705882359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0</v>
      </c>
      <c r="E84" s="2"/>
      <c r="F84" s="6">
        <f t="shared" si="20"/>
        <v>0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SUM(OSRRefP22_13x_0)</f>
        <v>0</v>
      </c>
      <c r="Q84" s="2"/>
      <c r="R84" s="6">
        <f t="shared" si="24"/>
        <v>0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8"/>
      <c r="E85" s="3"/>
      <c r="F85" s="7">
        <f t="shared" si="20"/>
        <v>0</v>
      </c>
      <c r="G85" s="3"/>
      <c r="H85" s="8">
        <v>0</v>
      </c>
      <c r="I85" s="3"/>
      <c r="J85" s="7">
        <f t="shared" si="21"/>
        <v>0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/>
      <c r="Q85" s="3"/>
      <c r="R85" s="7">
        <f t="shared" si="24"/>
        <v>0</v>
      </c>
      <c r="S85" s="3"/>
      <c r="T85" s="8">
        <v>0</v>
      </c>
      <c r="U85" s="3"/>
      <c r="V85" s="7">
        <f t="shared" si="25"/>
        <v>0</v>
      </c>
      <c r="W85" s="3"/>
      <c r="X85" s="8">
        <f t="shared" si="26"/>
        <v>0</v>
      </c>
      <c r="Y85" s="3"/>
      <c r="Z85" s="7">
        <f t="shared" si="27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7" t="s">
        <v>291</v>
      </c>
      <c r="C87" s="11"/>
      <c r="D87" s="5">
        <f>SUM(OSRRefD25x_0)</f>
        <v>155658.63</v>
      </c>
      <c r="E87" s="5"/>
      <c r="F87" s="13">
        <f>IF(D$12=0,0,D87/D$12)</f>
        <v>0.8719790597701923</v>
      </c>
      <c r="G87" s="5"/>
      <c r="H87" s="5">
        <f>SUM(OSRRefH25x_0)</f>
        <v>166302.39999999999</v>
      </c>
      <c r="I87" s="5"/>
      <c r="J87" s="13">
        <f>IF(H$12=0,0,H87/H$12)</f>
        <v>0.84596962081981053</v>
      </c>
      <c r="K87" s="5"/>
      <c r="L87" s="5">
        <f>+D87-H87</f>
        <v>-10643.76999999999</v>
      </c>
      <c r="M87" s="5"/>
      <c r="N87" s="13">
        <f>IF(H87=0,0,L87/H87)</f>
        <v>-6.400250387246359E-2</v>
      </c>
      <c r="O87" s="11"/>
      <c r="P87" s="5">
        <f>SUM(OSRRefP25x_0)</f>
        <v>349887.55000000005</v>
      </c>
      <c r="Q87" s="5"/>
      <c r="R87" s="13">
        <f>IF(P$12=0,0,P87/P$12)</f>
        <v>0.16438454756015969</v>
      </c>
      <c r="S87" s="5"/>
      <c r="T87" s="5">
        <f>SUM(OSRRefT25x_0)</f>
        <v>359642.23</v>
      </c>
      <c r="U87" s="5"/>
      <c r="V87" s="13">
        <f>IF(T$12=0,0,T87/T$12)</f>
        <v>7.7251192194335669E-2</v>
      </c>
      <c r="W87" s="5"/>
      <c r="X87" s="5">
        <f>+P87-T87</f>
        <v>-9754.6799999999348</v>
      </c>
      <c r="Y87" s="5"/>
      <c r="Z87" s="13">
        <f>IF(T87=0,0,X87/T87)</f>
        <v>-2.7123288608236956E-2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--2944.95</f>
        <v>2944.95</v>
      </c>
      <c r="E88" s="3"/>
      <c r="F88" s="20">
        <f>IF(D$12=0,0,D88/D$12)</f>
        <v>1.6497220437249303E-2</v>
      </c>
      <c r="G88" s="3"/>
      <c r="H88" s="3">
        <v>2486</v>
      </c>
      <c r="I88" s="3"/>
      <c r="J88" s="20">
        <f>IF(H$12=0,0,H88/H$12)</f>
        <v>1.2646122228891761E-2</v>
      </c>
      <c r="K88" s="3"/>
      <c r="L88" s="3">
        <f>+D88-H88</f>
        <v>458.94999999999982</v>
      </c>
      <c r="M88" s="3"/>
      <c r="N88" s="20">
        <f>IF(H88=0,0,L88/H88)</f>
        <v>0.18461383748994362</v>
      </c>
      <c r="O88" s="12"/>
      <c r="P88" s="3">
        <f>--22258.22</f>
        <v>22258.22</v>
      </c>
      <c r="Q88" s="3"/>
      <c r="R88" s="20">
        <f>IF(P$12=0,0,P88/P$12)</f>
        <v>1.0457381019114562E-2</v>
      </c>
      <c r="S88" s="3"/>
      <c r="T88" s="3">
        <v>31780</v>
      </c>
      <c r="U88" s="3"/>
      <c r="V88" s="20">
        <f>IF(T$12=0,0,T88/T$12)</f>
        <v>6.8263476398085611E-3</v>
      </c>
      <c r="W88" s="3"/>
      <c r="X88" s="3">
        <f>+P88-T88</f>
        <v>-9521.7799999999988</v>
      </c>
      <c r="Y88" s="3"/>
      <c r="Z88" s="20">
        <f>IF(T88=0,0,X88/T88)</f>
        <v>-0.29961548143486466</v>
      </c>
    </row>
    <row r="89" spans="1:26" s="70" customFormat="1" ht="15" hidden="1" customHeight="1" outlineLevel="1" x14ac:dyDescent="0.3">
      <c r="A89" s="42"/>
      <c r="B89" s="12" t="str">
        <f>CONCATENATE("          ","9151"," - ","MISC. INCOME")</f>
        <v xml:space="preserve">          9151 - MISC. INCOME</v>
      </c>
      <c r="C89" s="12"/>
      <c r="D89" s="3">
        <f>--152339.59</f>
        <v>152339.59</v>
      </c>
      <c r="E89" s="3"/>
      <c r="F89" s="20">
        <f>IF(D$12=0,0,D89/D$12)</f>
        <v>0.85338623662547064</v>
      </c>
      <c r="G89" s="3"/>
      <c r="H89" s="3">
        <v>163816.4</v>
      </c>
      <c r="I89" s="3"/>
      <c r="J89" s="20">
        <f>IF(H$12=0,0,H89/H$12)</f>
        <v>0.83332349859091881</v>
      </c>
      <c r="K89" s="3"/>
      <c r="L89" s="3">
        <f>+D89-H89</f>
        <v>-11476.809999999998</v>
      </c>
      <c r="M89" s="3"/>
      <c r="N89" s="20">
        <f>IF(H89=0,0,L89/H89)</f>
        <v>-7.0058980663718642E-2</v>
      </c>
      <c r="O89" s="12"/>
      <c r="P89" s="3">
        <f>--323761.7</f>
        <v>323761.7</v>
      </c>
      <c r="Q89" s="3"/>
      <c r="R89" s="20">
        <f>IF(P$12=0,0,P89/P$12)</f>
        <v>0.15211007242700733</v>
      </c>
      <c r="S89" s="3"/>
      <c r="T89" s="3">
        <v>327862.23</v>
      </c>
      <c r="U89" s="3"/>
      <c r="V89" s="20">
        <f>IF(T$12=0,0,T89/T$12)</f>
        <v>7.0424844554527119E-2</v>
      </c>
      <c r="W89" s="3"/>
      <c r="X89" s="3">
        <f>+P89-T89</f>
        <v>-4100.5299999999697</v>
      </c>
      <c r="Y89" s="3"/>
      <c r="Z89" s="20">
        <f>IF(T89=0,0,X89/T89)</f>
        <v>-1.2506869119995828E-2</v>
      </c>
    </row>
    <row r="90" spans="1:26" s="70" customFormat="1" ht="15" hidden="1" customHeight="1" outlineLevel="1" x14ac:dyDescent="0.3">
      <c r="A90" s="42"/>
      <c r="B90" s="12" t="str">
        <f>CONCATENATE("          ","9152"," - ","MISC. INCOME")</f>
        <v xml:space="preserve">          9152 - MISC. INCOME</v>
      </c>
      <c r="C90" s="12"/>
      <c r="D90" s="3">
        <f>--374.09</f>
        <v>374.09</v>
      </c>
      <c r="E90" s="3"/>
      <c r="F90" s="20">
        <f>IF(D$12=0,0,D90/D$12)</f>
        <v>2.0956027074723145E-3</v>
      </c>
      <c r="G90" s="3"/>
      <c r="H90" s="3"/>
      <c r="I90" s="3"/>
      <c r="J90" s="20">
        <f>IF(H$12=0,0,H90/H$12)</f>
        <v>0</v>
      </c>
      <c r="K90" s="3"/>
      <c r="L90" s="3">
        <f>+D90-H90</f>
        <v>374.09</v>
      </c>
      <c r="M90" s="3"/>
      <c r="N90" s="20">
        <f>IF(H90=0,0,L90/H90)</f>
        <v>0</v>
      </c>
      <c r="O90" s="12"/>
      <c r="P90" s="3">
        <f>--3867.63</f>
        <v>3867.63</v>
      </c>
      <c r="Q90" s="3"/>
      <c r="R90" s="20">
        <f>IF(P$12=0,0,P90/P$12)</f>
        <v>1.8170941140377827E-3</v>
      </c>
      <c r="S90" s="3"/>
      <c r="T90" s="3"/>
      <c r="U90" s="3"/>
      <c r="V90" s="20">
        <f>IF(T$12=0,0,T90/T$12)</f>
        <v>0</v>
      </c>
      <c r="W90" s="3"/>
      <c r="X90" s="3">
        <f>+P90-T90</f>
        <v>3867.63</v>
      </c>
      <c r="Y90" s="3"/>
      <c r="Z90" s="20">
        <f>IF(T90=0,0,X90/T90)</f>
        <v>0</v>
      </c>
    </row>
    <row r="91" spans="1:26" s="70" customFormat="1" ht="15" hidden="1" customHeight="1" outlineLevel="1" x14ac:dyDescent="0.3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8" t="s">
        <v>292</v>
      </c>
      <c r="C93" s="28"/>
      <c r="D93" s="21">
        <f>+D31-D33+D87</f>
        <v>173364.49</v>
      </c>
      <c r="E93" s="15"/>
      <c r="F93" s="22">
        <f>IF(D$12=0,0,D93/D$12)</f>
        <v>0.97116494593161262</v>
      </c>
      <c r="G93" s="15"/>
      <c r="H93" s="21">
        <f>+H31-H33+H87</f>
        <v>173683.30461101027</v>
      </c>
      <c r="I93" s="15"/>
      <c r="J93" s="22">
        <f>IF(H$12=0,0,H93/H$12)</f>
        <v>0.88351580821748821</v>
      </c>
      <c r="K93" s="16"/>
      <c r="L93" s="21">
        <f>+D93-H93</f>
        <v>-318.81461101028253</v>
      </c>
      <c r="M93" s="16"/>
      <c r="N93" s="22">
        <f>IF(H93=0,0,L93/H93)</f>
        <v>-1.8356088498218959E-3</v>
      </c>
      <c r="O93" s="27"/>
      <c r="P93" s="21">
        <f>+P31-P33+P87</f>
        <v>478948.84</v>
      </c>
      <c r="Q93" s="15"/>
      <c r="R93" s="22">
        <f>IF(P$12=0,0,P93/P$12)</f>
        <v>0.22502026256110946</v>
      </c>
      <c r="S93" s="15"/>
      <c r="T93" s="21">
        <f>+T31-T33+T87</f>
        <v>1197342.1621413399</v>
      </c>
      <c r="U93" s="15"/>
      <c r="V93" s="22">
        <f>IF(T$12=0,0,T93/T$12)</f>
        <v>0.25718923356125911</v>
      </c>
      <c r="W93" s="16"/>
      <c r="X93" s="21">
        <f>+P93-T93</f>
        <v>-718393.32214133977</v>
      </c>
      <c r="Y93" s="16"/>
      <c r="Z93" s="22">
        <f>IF(T93=0,0,X93/T93)</f>
        <v>-0.59998999856194601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7570.53</v>
      </c>
      <c r="E95" s="5"/>
      <c r="F95" s="13">
        <f>IF(D$12=0,0,D95/D$12)</f>
        <v>4.2409107875111283E-2</v>
      </c>
      <c r="G95" s="5"/>
      <c r="H95" s="5">
        <v>10437</v>
      </c>
      <c r="I95" s="5"/>
      <c r="J95" s="13">
        <f>IF(H$12=0,0,H95/H$12)</f>
        <v>5.3092348231272443E-2</v>
      </c>
      <c r="K95" s="5"/>
      <c r="L95" s="5">
        <f>+D95-H95</f>
        <v>-2866.4700000000003</v>
      </c>
      <c r="M95" s="5"/>
      <c r="N95" s="13">
        <f>IF(H95=0,0,L95/H95)</f>
        <v>-0.27464501293475141</v>
      </c>
      <c r="O95" s="11"/>
      <c r="P95" s="5">
        <v>265681.36</v>
      </c>
      <c r="Q95" s="5"/>
      <c r="R95" s="13">
        <f>IF(P$12=0,0,P95/P$12)</f>
        <v>0.12482270420530225</v>
      </c>
      <c r="S95" s="5"/>
      <c r="T95" s="5">
        <v>569122</v>
      </c>
      <c r="U95" s="5"/>
      <c r="V95" s="13">
        <f>IF(T$12=0,0,T95/T$12)</f>
        <v>0.12224747078235142</v>
      </c>
      <c r="W95" s="5"/>
      <c r="X95" s="5">
        <f>+P95-T95</f>
        <v>-303440.64000000001</v>
      </c>
      <c r="Y95" s="5"/>
      <c r="Z95" s="13">
        <f>IF(T95=0,0,X95/T95)</f>
        <v>-0.53317327392017888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8" t="s">
        <v>294</v>
      </c>
      <c r="C97" s="28"/>
      <c r="D97" s="33">
        <f>+D93-D95</f>
        <v>165793.96</v>
      </c>
      <c r="E97" s="15"/>
      <c r="F97" s="32">
        <f>IF(D$12=0,0,D97/D$12)</f>
        <v>0.9287558380565013</v>
      </c>
      <c r="G97" s="15"/>
      <c r="H97" s="33">
        <f>+H93-H95</f>
        <v>163246.30461101027</v>
      </c>
      <c r="I97" s="15"/>
      <c r="J97" s="32">
        <f>IF(H$12=0,0,H97/H$12)</f>
        <v>0.83042345998621581</v>
      </c>
      <c r="K97" s="16"/>
      <c r="L97" s="33">
        <f>D97-H97</f>
        <v>2547.6553889897186</v>
      </c>
      <c r="M97" s="16"/>
      <c r="N97" s="32">
        <f>IF(H97=0,0,L97/H97)</f>
        <v>1.5606205574211142E-2</v>
      </c>
      <c r="O97" s="27"/>
      <c r="P97" s="33">
        <f>+P93-P95</f>
        <v>213267.48000000004</v>
      </c>
      <c r="Q97" s="15"/>
      <c r="R97" s="32">
        <f>IF(P$12=0,0,P97/P$12)</f>
        <v>0.1001975583558072</v>
      </c>
      <c r="S97" s="15"/>
      <c r="T97" s="33">
        <f>+T93-T95</f>
        <v>628220.16214133985</v>
      </c>
      <c r="U97" s="15"/>
      <c r="V97" s="32">
        <f>IF(T$12=0,0,T97/T$12)</f>
        <v>0.13494176277890771</v>
      </c>
      <c r="W97" s="16"/>
      <c r="X97" s="33">
        <f>P97-T97</f>
        <v>-414952.68214133981</v>
      </c>
      <c r="Y97" s="16"/>
      <c r="Z97" s="32">
        <f>IF(T97=0,0,X97/T97)</f>
        <v>-0.66052111528375601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8" t="s">
        <v>297</v>
      </c>
      <c r="C100" s="28"/>
      <c r="D100" s="34">
        <f>SUM(D97:D99)</f>
        <v>165793.96</v>
      </c>
      <c r="E100" s="15"/>
      <c r="F100" s="30">
        <f>IF(D$12=0,0,D100/D$12)</f>
        <v>0.9287558380565013</v>
      </c>
      <c r="G100" s="15"/>
      <c r="H100" s="34">
        <f>SUM(H97:H99)</f>
        <v>163246.30461101027</v>
      </c>
      <c r="I100" s="15"/>
      <c r="J100" s="30">
        <f>IF(H$12=0,0,H100/H$12)</f>
        <v>0.83042345998621581</v>
      </c>
      <c r="K100" s="16"/>
      <c r="L100" s="34">
        <f>+D100-H100</f>
        <v>2547.6553889897186</v>
      </c>
      <c r="M100" s="16"/>
      <c r="N100" s="30">
        <f>IF(H100=0,0,L100/H100)</f>
        <v>1.5606205574211142E-2</v>
      </c>
      <c r="O100" s="27"/>
      <c r="P100" s="34">
        <f>SUM(P97:P99)</f>
        <v>213267.48000000004</v>
      </c>
      <c r="Q100" s="15"/>
      <c r="R100" s="30">
        <f>IF(P$12=0,0,P100/P$12)</f>
        <v>0.1001975583558072</v>
      </c>
      <c r="S100" s="15"/>
      <c r="T100" s="34">
        <f>SUM(T97:T99)</f>
        <v>628220.16214133985</v>
      </c>
      <c r="U100" s="15"/>
      <c r="V100" s="30">
        <f>IF(T$12=0,0,T100/T$12)</f>
        <v>0.13494176277890771</v>
      </c>
      <c r="W100" s="16"/>
      <c r="X100" s="34">
        <f>+P100-T100</f>
        <v>-414952.68214133981</v>
      </c>
      <c r="Y100" s="16"/>
      <c r="Z100" s="30">
        <f>IF(T100=0,0,X100/T100)</f>
        <v>-0.66052111528375601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0"/>
      <c r="B102" s="57">
        <v>44634.883394942131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0"/>
      <c r="B103" s="56" t="s">
        <v>298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0"/>
      <c r="B104" s="54"/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8D721-A29B-7EFB-D393-8BD3B67E4D48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","311"," - ","Textbooks")</f>
        <v>Department 311 - Textbooks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143919.13</v>
      </c>
      <c r="E12" s="5"/>
      <c r="F12" s="13"/>
      <c r="G12" s="5"/>
      <c r="H12" s="5">
        <f>SUM(OSRRefH13x_0)</f>
        <v>136360</v>
      </c>
      <c r="I12" s="5"/>
      <c r="J12" s="13"/>
      <c r="K12" s="5"/>
      <c r="L12" s="5">
        <f t="shared" ref="L12:L17" si="0">+D12-H12</f>
        <v>7559.1300000000047</v>
      </c>
      <c r="M12" s="5"/>
      <c r="N12" s="13">
        <f t="shared" ref="N12:N17" si="1">IF(H12=0,0,L12/H12)</f>
        <v>5.5435098269287213E-2</v>
      </c>
      <c r="O12" s="11"/>
      <c r="P12" s="5">
        <f>SUM(OSRRefP13x_0)</f>
        <v>1692438.05</v>
      </c>
      <c r="Q12" s="5"/>
      <c r="R12" s="13"/>
      <c r="S12" s="5"/>
      <c r="T12" s="5">
        <f>SUM(OSRRefT13x_0)</f>
        <v>3125176</v>
      </c>
      <c r="U12" s="5"/>
      <c r="V12" s="13"/>
      <c r="W12" s="5"/>
      <c r="X12" s="5">
        <f t="shared" ref="X12:X17" si="2">+P12-T12</f>
        <v>-1432737.95</v>
      </c>
      <c r="Y12" s="5"/>
      <c r="Z12" s="13">
        <f t="shared" ref="Z12:Z17" si="3">IF(T12=0,0,X12/T12)</f>
        <v>-0.45845032407774794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--116339.58</f>
        <v>116339.58</v>
      </c>
      <c r="E13" s="3"/>
      <c r="F13" s="20"/>
      <c r="G13" s="3"/>
      <c r="H13" s="3">
        <v>136360</v>
      </c>
      <c r="I13" s="3"/>
      <c r="J13" s="20"/>
      <c r="K13" s="3"/>
      <c r="L13" s="3">
        <f t="shared" si="0"/>
        <v>-20020.419999999998</v>
      </c>
      <c r="M13" s="3"/>
      <c r="N13" s="20">
        <f t="shared" si="1"/>
        <v>-0.14682032854209445</v>
      </c>
      <c r="O13" s="12"/>
      <c r="P13" s="3">
        <f>--1331040.96</f>
        <v>1331040.96</v>
      </c>
      <c r="Q13" s="3"/>
      <c r="R13" s="20"/>
      <c r="S13" s="3"/>
      <c r="T13" s="3">
        <v>3125176</v>
      </c>
      <c r="U13" s="3"/>
      <c r="V13" s="20"/>
      <c r="W13" s="3"/>
      <c r="X13" s="3">
        <f t="shared" si="2"/>
        <v>-1794135.04</v>
      </c>
      <c r="Y13" s="3"/>
      <c r="Z13" s="20">
        <f t="shared" si="3"/>
        <v>-0.57409088000163833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--38907.31</f>
        <v>38907.31</v>
      </c>
      <c r="E14" s="3"/>
      <c r="F14" s="20"/>
      <c r="G14" s="3"/>
      <c r="H14" s="3">
        <v>0</v>
      </c>
      <c r="I14" s="3"/>
      <c r="J14" s="20"/>
      <c r="K14" s="3"/>
      <c r="L14" s="3">
        <f t="shared" si="0"/>
        <v>38907.31</v>
      </c>
      <c r="M14" s="3"/>
      <c r="N14" s="20">
        <f t="shared" si="1"/>
        <v>0</v>
      </c>
      <c r="O14" s="12"/>
      <c r="P14" s="3">
        <f>--448791.29</f>
        <v>448791.29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448791.29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-4194.35</f>
        <v>-4194.3500000000004</v>
      </c>
      <c r="E15" s="3"/>
      <c r="F15" s="20"/>
      <c r="G15" s="3"/>
      <c r="H15" s="3"/>
      <c r="I15" s="3"/>
      <c r="J15" s="20"/>
      <c r="K15" s="3"/>
      <c r="L15" s="3">
        <f t="shared" si="0"/>
        <v>-4194.3500000000004</v>
      </c>
      <c r="M15" s="3"/>
      <c r="N15" s="20">
        <f t="shared" si="1"/>
        <v>0</v>
      </c>
      <c r="O15" s="12"/>
      <c r="P15" s="3">
        <f>-50832.81</f>
        <v>-50832.81</v>
      </c>
      <c r="Q15" s="3"/>
      <c r="R15" s="20"/>
      <c r="S15" s="3"/>
      <c r="T15" s="3"/>
      <c r="U15" s="3"/>
      <c r="V15" s="20"/>
      <c r="W15" s="3"/>
      <c r="X15" s="3">
        <f t="shared" si="2"/>
        <v>-50832.81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-2947.38</f>
        <v>-2947.38</v>
      </c>
      <c r="E16" s="3"/>
      <c r="F16" s="20"/>
      <c r="G16" s="3"/>
      <c r="H16" s="3"/>
      <c r="I16" s="3"/>
      <c r="J16" s="20"/>
      <c r="K16" s="3"/>
      <c r="L16" s="3">
        <f t="shared" si="0"/>
        <v>-2947.38</v>
      </c>
      <c r="M16" s="3"/>
      <c r="N16" s="20">
        <f t="shared" si="1"/>
        <v>0</v>
      </c>
      <c r="O16" s="12"/>
      <c r="P16" s="3">
        <f>-29348.67</f>
        <v>-29348.67</v>
      </c>
      <c r="Q16" s="3"/>
      <c r="R16" s="20"/>
      <c r="S16" s="3"/>
      <c r="T16" s="3"/>
      <c r="U16" s="3"/>
      <c r="V16" s="20"/>
      <c r="W16" s="3"/>
      <c r="X16" s="3">
        <f t="shared" si="2"/>
        <v>-29348.67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-4186.03</f>
        <v>-4186.03</v>
      </c>
      <c r="E17" s="3"/>
      <c r="F17" s="20"/>
      <c r="G17" s="3"/>
      <c r="H17" s="3"/>
      <c r="I17" s="3"/>
      <c r="J17" s="20"/>
      <c r="K17" s="3"/>
      <c r="L17" s="3">
        <f t="shared" si="0"/>
        <v>-4186.03</v>
      </c>
      <c r="M17" s="3"/>
      <c r="N17" s="20">
        <f t="shared" si="1"/>
        <v>0</v>
      </c>
      <c r="O17" s="12"/>
      <c r="P17" s="3">
        <f>-7212.72</f>
        <v>-7212.72</v>
      </c>
      <c r="Q17" s="3"/>
      <c r="R17" s="20"/>
      <c r="S17" s="3"/>
      <c r="T17" s="3"/>
      <c r="U17" s="3"/>
      <c r="V17" s="20"/>
      <c r="W17" s="3"/>
      <c r="X17" s="3">
        <f t="shared" si="2"/>
        <v>-7212.72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96980.380000000019</v>
      </c>
      <c r="E19" s="5"/>
      <c r="F19" s="13">
        <f t="shared" ref="F19:F29" si="4">IF(D$12=0,0,D19/D$12)</f>
        <v>0.67385329524990889</v>
      </c>
      <c r="G19" s="5"/>
      <c r="H19" s="5">
        <f>SUM(OSRRefH16x_0)</f>
        <v>98520</v>
      </c>
      <c r="I19" s="5"/>
      <c r="J19" s="13">
        <f t="shared" ref="J19:J29" si="5">IF(H$12=0,0,H19/H$12)</f>
        <v>0.72249926664711062</v>
      </c>
      <c r="K19" s="5"/>
      <c r="L19" s="5">
        <f t="shared" ref="L19:L29" si="6">+D19-H19</f>
        <v>-1539.6199999999808</v>
      </c>
      <c r="M19" s="5"/>
      <c r="N19" s="13">
        <f t="shared" ref="N19:N29" si="7">IF(H19=0,0,L19/H19)</f>
        <v>-1.562748680470951E-2</v>
      </c>
      <c r="O19" s="11"/>
      <c r="P19" s="5">
        <f>SUM(OSRRefP16x_0)</f>
        <v>1314870.55</v>
      </c>
      <c r="Q19" s="5"/>
      <c r="R19" s="13">
        <f t="shared" ref="R19:R29" si="8">IF(P$12=0,0,P19/P$12)</f>
        <v>0.77690911640754001</v>
      </c>
      <c r="S19" s="5"/>
      <c r="T19" s="5">
        <f>SUM(OSRRefT16x_0)</f>
        <v>2257938</v>
      </c>
      <c r="U19" s="5"/>
      <c r="V19" s="13">
        <f t="shared" ref="V19:V29" si="9">IF(T$12=0,0,T19/T$12)</f>
        <v>0.72249946882991545</v>
      </c>
      <c r="W19" s="5"/>
      <c r="X19" s="5">
        <f t="shared" ref="X19:X29" si="10">+P19-T19</f>
        <v>-943067.45</v>
      </c>
      <c r="Y19" s="5"/>
      <c r="Z19" s="13">
        <f t="shared" ref="Z19:Z29" si="11">IF(T19=0,0,X19/T19)</f>
        <v>-0.41766755774516395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145152.23000000001</v>
      </c>
      <c r="E20" s="3"/>
      <c r="F20" s="20">
        <f t="shared" si="4"/>
        <v>1.0085680062129336</v>
      </c>
      <c r="G20" s="3"/>
      <c r="H20" s="3">
        <v>98520</v>
      </c>
      <c r="I20" s="3"/>
      <c r="J20" s="20">
        <f t="shared" si="5"/>
        <v>0.72249926664711062</v>
      </c>
      <c r="K20" s="3"/>
      <c r="L20" s="3">
        <f t="shared" si="6"/>
        <v>46632.23000000001</v>
      </c>
      <c r="M20" s="3"/>
      <c r="N20" s="20">
        <f t="shared" si="7"/>
        <v>0.47332754770604962</v>
      </c>
      <c r="O20" s="12"/>
      <c r="P20" s="3">
        <v>1558843.19</v>
      </c>
      <c r="Q20" s="3"/>
      <c r="R20" s="20">
        <f t="shared" si="8"/>
        <v>0.9210636631574195</v>
      </c>
      <c r="S20" s="3"/>
      <c r="T20" s="3">
        <v>2257938</v>
      </c>
      <c r="U20" s="3"/>
      <c r="V20" s="20">
        <f t="shared" si="9"/>
        <v>0.72249946882991545</v>
      </c>
      <c r="W20" s="3"/>
      <c r="X20" s="3">
        <f t="shared" si="10"/>
        <v>-699094.81</v>
      </c>
      <c r="Y20" s="3"/>
      <c r="Z20" s="20">
        <f t="shared" si="11"/>
        <v>-0.30961647751178289</v>
      </c>
    </row>
    <row r="21" spans="1:26" s="70" customFormat="1" ht="15" hidden="1" customHeight="1" outlineLevel="1" x14ac:dyDescent="0.3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","5200"," - ","PURCHASES OFFSET")</f>
        <v xml:space="preserve">          5200 - PURCHASES OFFSET</v>
      </c>
      <c r="C24" s="12"/>
      <c r="D24" s="3">
        <v>-166938.59</v>
      </c>
      <c r="E24" s="3"/>
      <c r="F24" s="20">
        <f t="shared" si="4"/>
        <v>-1.1599471870070364</v>
      </c>
      <c r="G24" s="3"/>
      <c r="H24" s="3"/>
      <c r="I24" s="3"/>
      <c r="J24" s="20">
        <f t="shared" si="5"/>
        <v>0</v>
      </c>
      <c r="K24" s="3"/>
      <c r="L24" s="3">
        <f t="shared" si="6"/>
        <v>-166938.59</v>
      </c>
      <c r="M24" s="3"/>
      <c r="N24" s="20">
        <f t="shared" si="7"/>
        <v>0</v>
      </c>
      <c r="O24" s="12"/>
      <c r="P24" s="3">
        <v>-1629298.2</v>
      </c>
      <c r="Q24" s="3"/>
      <c r="R24" s="20">
        <f t="shared" si="8"/>
        <v>-0.96269296238051372</v>
      </c>
      <c r="S24" s="3"/>
      <c r="T24" s="3"/>
      <c r="U24" s="3"/>
      <c r="V24" s="20">
        <f t="shared" si="9"/>
        <v>0</v>
      </c>
      <c r="W24" s="3"/>
      <c r="X24" s="3">
        <f t="shared" si="10"/>
        <v>-1629298.2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","5300"," - ","COG$ OFFSET")</f>
        <v xml:space="preserve">          5300 - COG$ OFFSET</v>
      </c>
      <c r="C25" s="12"/>
      <c r="D25" s="3">
        <v>96980.38</v>
      </c>
      <c r="E25" s="3"/>
      <c r="F25" s="20">
        <f t="shared" si="4"/>
        <v>0.67385329524990878</v>
      </c>
      <c r="G25" s="3"/>
      <c r="H25" s="3"/>
      <c r="I25" s="3"/>
      <c r="J25" s="20">
        <f t="shared" si="5"/>
        <v>0</v>
      </c>
      <c r="K25" s="3"/>
      <c r="L25" s="3">
        <f t="shared" si="6"/>
        <v>96980.38</v>
      </c>
      <c r="M25" s="3"/>
      <c r="N25" s="20">
        <f t="shared" si="7"/>
        <v>0</v>
      </c>
      <c r="O25" s="12"/>
      <c r="P25" s="3">
        <v>1314870.55</v>
      </c>
      <c r="Q25" s="3"/>
      <c r="R25" s="20">
        <f t="shared" si="8"/>
        <v>0.77690911640754001</v>
      </c>
      <c r="S25" s="3"/>
      <c r="T25" s="3"/>
      <c r="U25" s="3"/>
      <c r="V25" s="20">
        <f t="shared" si="9"/>
        <v>0</v>
      </c>
      <c r="W25" s="3"/>
      <c r="X25" s="3">
        <f t="shared" si="10"/>
        <v>1314870.55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","5500"," - ","FREIGHT-IN")</f>
        <v xml:space="preserve">          5500 - FREIGHT-IN</v>
      </c>
      <c r="C26" s="12"/>
      <c r="D26" s="3">
        <v>21786.36</v>
      </c>
      <c r="E26" s="3"/>
      <c r="F26" s="20">
        <f t="shared" si="4"/>
        <v>0.1513791807941029</v>
      </c>
      <c r="G26" s="3"/>
      <c r="H26" s="3"/>
      <c r="I26" s="3"/>
      <c r="J26" s="20">
        <f t="shared" si="5"/>
        <v>0</v>
      </c>
      <c r="K26" s="3"/>
      <c r="L26" s="3">
        <f t="shared" si="6"/>
        <v>21786.36</v>
      </c>
      <c r="M26" s="3"/>
      <c r="N26" s="20">
        <f t="shared" si="7"/>
        <v>0</v>
      </c>
      <c r="O26" s="12"/>
      <c r="P26" s="3">
        <v>70455.009999999995</v>
      </c>
      <c r="Q26" s="3"/>
      <c r="R26" s="20">
        <f t="shared" si="8"/>
        <v>4.1629299223094156E-2</v>
      </c>
      <c r="S26" s="3"/>
      <c r="T26" s="3"/>
      <c r="U26" s="3"/>
      <c r="V26" s="20">
        <f t="shared" si="9"/>
        <v>0</v>
      </c>
      <c r="W26" s="3"/>
      <c r="X26" s="3">
        <f t="shared" si="10"/>
        <v>70455.009999999995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289</v>
      </c>
      <c r="C31" s="28"/>
      <c r="D31" s="21">
        <f>D12-D19</f>
        <v>46938.749999999985</v>
      </c>
      <c r="E31" s="15"/>
      <c r="F31" s="22">
        <f>IF(D$12=0,0,D31/D$12)</f>
        <v>0.32614670475009111</v>
      </c>
      <c r="G31" s="15"/>
      <c r="H31" s="21">
        <f>H12-H19</f>
        <v>37840</v>
      </c>
      <c r="I31" s="15"/>
      <c r="J31" s="22">
        <f>IF(H$12=0,0,H31/H$12)</f>
        <v>0.27750073335288938</v>
      </c>
      <c r="K31" s="16"/>
      <c r="L31" s="21">
        <f>+D31-H31</f>
        <v>9098.7499999999854</v>
      </c>
      <c r="M31" s="16"/>
      <c r="N31" s="22">
        <f>IF(H31=0,0,L31/H31)</f>
        <v>0.24045322410147954</v>
      </c>
      <c r="O31" s="27"/>
      <c r="P31" s="21">
        <f>P12-P19</f>
        <v>377567.5</v>
      </c>
      <c r="Q31" s="15"/>
      <c r="R31" s="22">
        <f>IF(P$12=0,0,P31/P$12)</f>
        <v>0.22309088359245999</v>
      </c>
      <c r="S31" s="15"/>
      <c r="T31" s="21">
        <f>T12-T19</f>
        <v>867238</v>
      </c>
      <c r="U31" s="15"/>
      <c r="V31" s="22">
        <f>IF(T$12=0,0,T31/T$12)</f>
        <v>0.2775005311700845</v>
      </c>
      <c r="W31" s="16"/>
      <c r="X31" s="21">
        <f>+P31-T31</f>
        <v>-489670.5</v>
      </c>
      <c r="Y31" s="16"/>
      <c r="Z31" s="22">
        <f>IF(T31=0,0,X31/T31)</f>
        <v>-0.56463220015728088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7" t="s">
        <v>290</v>
      </c>
      <c r="C33" s="11"/>
      <c r="D33" s="23" cm="1">
        <f t="array" ref="D33">SUM(OSRRefD22x_0)</f>
        <v>29171.58</v>
      </c>
      <c r="E33" s="23"/>
      <c r="F33" s="29">
        <f t="shared" ref="F33:F64" si="12">IF(D$12=0,0,D33/D$12)</f>
        <v>0.20269424919397444</v>
      </c>
      <c r="G33" s="23"/>
      <c r="H33" s="23" cm="1">
        <f t="array" ref="H33">SUM(OSRRefH22x_0)</f>
        <v>47020.095388989714</v>
      </c>
      <c r="I33" s="23"/>
      <c r="J33" s="29">
        <f t="shared" ref="J33:J64" si="13">IF(H$12=0,0,H33/H$12)</f>
        <v>0.34482322813867494</v>
      </c>
      <c r="K33" s="5"/>
      <c r="L33" s="23">
        <f t="shared" ref="L33:L64" si="14">+D33-H33</f>
        <v>-17848.515388989712</v>
      </c>
      <c r="M33" s="5"/>
      <c r="N33" s="29">
        <f t="shared" ref="N33:N64" si="15">IF(H33=0,0,L33/H33)</f>
        <v>-0.37959334708557702</v>
      </c>
      <c r="O33" s="11"/>
      <c r="P33" s="23" cm="1">
        <f t="array" ref="P33">SUM(OSRRefP22x_0)</f>
        <v>361432.13999999996</v>
      </c>
      <c r="Q33" s="23"/>
      <c r="R33" s="29">
        <f t="shared" ref="R33:R64" si="16">IF(P$12=0,0,P33/P$12)</f>
        <v>0.21355708706738186</v>
      </c>
      <c r="S33" s="23"/>
      <c r="T33" s="23" cm="1">
        <f t="array" ref="T33">SUM(OSRRefT22x_0)</f>
        <v>450374.06785866024</v>
      </c>
      <c r="U33" s="23"/>
      <c r="V33" s="29">
        <f t="shared" ref="V33:V64" si="17">IF(T$12=0,0,T33/T$12)</f>
        <v>0.14411158535028434</v>
      </c>
      <c r="W33" s="5"/>
      <c r="X33" s="23">
        <f t="shared" ref="X33:X64" si="18">+P33-T33</f>
        <v>-88941.927858660289</v>
      </c>
      <c r="Y33" s="5"/>
      <c r="Z33" s="29">
        <f t="shared" ref="Z33:Z64" si="19">IF(T33=0,0,X33/T33)</f>
        <v>-0.19748456717666238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-12457.830000000002</v>
      </c>
      <c r="E34" s="2"/>
      <c r="F34" s="6">
        <f t="shared" si="12"/>
        <v>-8.6561320930719915E-2</v>
      </c>
      <c r="G34" s="2"/>
      <c r="H34" s="2">
        <f>SUM(OSRRefH22_0x_0)</f>
        <v>13545.311843735913</v>
      </c>
      <c r="I34" s="2"/>
      <c r="J34" s="6">
        <f t="shared" si="13"/>
        <v>9.9334935785684322E-2</v>
      </c>
      <c r="K34" s="2"/>
      <c r="L34" s="2">
        <f t="shared" si="14"/>
        <v>-26003.141843735917</v>
      </c>
      <c r="M34" s="2"/>
      <c r="N34" s="6">
        <f t="shared" si="15"/>
        <v>-1.9197152596941633</v>
      </c>
      <c r="O34" s="14"/>
      <c r="P34" s="2">
        <f>SUM(OSRRefP22_0x_0)</f>
        <v>80694.249999999985</v>
      </c>
      <c r="Q34" s="2"/>
      <c r="R34" s="6">
        <f t="shared" si="16"/>
        <v>4.7679293194808507E-2</v>
      </c>
      <c r="S34" s="2"/>
      <c r="T34" s="2">
        <f>SUM(OSRRefT22_0x_0)</f>
        <v>118778.43683768928</v>
      </c>
      <c r="U34" s="2"/>
      <c r="V34" s="6">
        <f t="shared" si="17"/>
        <v>3.800695923611639E-2</v>
      </c>
      <c r="W34" s="2"/>
      <c r="X34" s="2">
        <f t="shared" si="18"/>
        <v>-38084.186837689296</v>
      </c>
      <c r="Y34" s="2"/>
      <c r="Z34" s="6">
        <f t="shared" si="19"/>
        <v>-0.3206321606145679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8">
        <v>2953.98</v>
      </c>
      <c r="E35" s="3"/>
      <c r="F35" s="7">
        <f t="shared" si="12"/>
        <v>2.0525276938514012E-2</v>
      </c>
      <c r="G35" s="3"/>
      <c r="H35" s="8">
        <v>1967.82450197977</v>
      </c>
      <c r="I35" s="3"/>
      <c r="J35" s="7">
        <f t="shared" si="13"/>
        <v>1.4431097843794148E-2</v>
      </c>
      <c r="K35" s="3"/>
      <c r="L35" s="8">
        <f t="shared" si="14"/>
        <v>986.15549802022997</v>
      </c>
      <c r="M35" s="3"/>
      <c r="N35" s="7">
        <f t="shared" si="15"/>
        <v>0.50113996295304186</v>
      </c>
      <c r="O35" s="12"/>
      <c r="P35" s="8">
        <v>17804.66</v>
      </c>
      <c r="Q35" s="3"/>
      <c r="R35" s="7">
        <f t="shared" si="16"/>
        <v>1.0520125094091332E-2</v>
      </c>
      <c r="S35" s="3"/>
      <c r="T35" s="8">
        <v>19227.089904822999</v>
      </c>
      <c r="U35" s="3"/>
      <c r="V35" s="7">
        <f t="shared" si="17"/>
        <v>6.152322270753071E-3</v>
      </c>
      <c r="W35" s="3"/>
      <c r="X35" s="8">
        <f t="shared" si="18"/>
        <v>-1422.4299048229987</v>
      </c>
      <c r="Y35" s="3"/>
      <c r="Z35" s="7">
        <f t="shared" si="19"/>
        <v>-7.3980509367992858E-2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8">
        <v>533.20000000000005</v>
      </c>
      <c r="E36" s="3"/>
      <c r="F36" s="7">
        <f t="shared" si="12"/>
        <v>3.7048584159729151E-3</v>
      </c>
      <c r="G36" s="3"/>
      <c r="H36" s="8">
        <v>473.62555548</v>
      </c>
      <c r="I36" s="3"/>
      <c r="J36" s="7">
        <f t="shared" si="13"/>
        <v>3.4733466960985625E-3</v>
      </c>
      <c r="K36" s="3"/>
      <c r="L36" s="8">
        <f t="shared" si="14"/>
        <v>59.574444520000043</v>
      </c>
      <c r="M36" s="3"/>
      <c r="N36" s="7">
        <f t="shared" si="15"/>
        <v>0.12578384724114769</v>
      </c>
      <c r="O36" s="12"/>
      <c r="P36" s="8">
        <v>3445.25</v>
      </c>
      <c r="Q36" s="3"/>
      <c r="R36" s="7">
        <f t="shared" si="16"/>
        <v>2.0356727385088037E-3</v>
      </c>
      <c r="S36" s="3"/>
      <c r="T36" s="8">
        <v>4832.1060004499996</v>
      </c>
      <c r="U36" s="3"/>
      <c r="V36" s="7">
        <f t="shared" si="17"/>
        <v>1.5461868389012329E-3</v>
      </c>
      <c r="W36" s="3"/>
      <c r="X36" s="8">
        <f t="shared" si="18"/>
        <v>-1386.8560004499996</v>
      </c>
      <c r="Y36" s="3"/>
      <c r="Z36" s="7">
        <f t="shared" si="19"/>
        <v>-0.28700860459618349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8">
        <v>3017.37</v>
      </c>
      <c r="E37" s="3"/>
      <c r="F37" s="7">
        <f t="shared" si="12"/>
        <v>2.0965732630540496E-2</v>
      </c>
      <c r="G37" s="3"/>
      <c r="H37" s="8">
        <v>5314</v>
      </c>
      <c r="I37" s="3"/>
      <c r="J37" s="7">
        <f t="shared" si="13"/>
        <v>3.8970372543267823E-2</v>
      </c>
      <c r="K37" s="3"/>
      <c r="L37" s="8">
        <f t="shared" si="14"/>
        <v>-2296.63</v>
      </c>
      <c r="M37" s="3"/>
      <c r="N37" s="7">
        <f t="shared" si="15"/>
        <v>-0.43218479488144523</v>
      </c>
      <c r="O37" s="12"/>
      <c r="P37" s="8">
        <v>35089.75</v>
      </c>
      <c r="Q37" s="3"/>
      <c r="R37" s="7">
        <f t="shared" si="16"/>
        <v>2.0733255199503461E-2</v>
      </c>
      <c r="S37" s="3"/>
      <c r="T37" s="8">
        <v>43430</v>
      </c>
      <c r="U37" s="3"/>
      <c r="V37" s="7">
        <f t="shared" si="17"/>
        <v>1.3896817331247905E-2</v>
      </c>
      <c r="W37" s="3"/>
      <c r="X37" s="8">
        <f t="shared" si="18"/>
        <v>-8340.25</v>
      </c>
      <c r="Y37" s="3"/>
      <c r="Z37" s="7">
        <f t="shared" si="19"/>
        <v>-0.19203891319364494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8">
        <v>106.2</v>
      </c>
      <c r="E38" s="3"/>
      <c r="F38" s="7">
        <f t="shared" si="12"/>
        <v>7.3791441068327742E-4</v>
      </c>
      <c r="G38" s="3"/>
      <c r="H38" s="8">
        <v>63.757286314615399</v>
      </c>
      <c r="I38" s="3"/>
      <c r="J38" s="7">
        <f t="shared" si="13"/>
        <v>4.6756590139788355E-4</v>
      </c>
      <c r="K38" s="3"/>
      <c r="L38" s="8">
        <f t="shared" si="14"/>
        <v>42.442713685384604</v>
      </c>
      <c r="M38" s="3"/>
      <c r="N38" s="7">
        <f t="shared" si="15"/>
        <v>0.665691972458609</v>
      </c>
      <c r="O38" s="12"/>
      <c r="P38" s="8">
        <v>683.92</v>
      </c>
      <c r="Q38" s="3"/>
      <c r="R38" s="7">
        <f t="shared" si="16"/>
        <v>4.0410341755197477E-4</v>
      </c>
      <c r="S38" s="3"/>
      <c r="T38" s="8">
        <v>650.47580775288395</v>
      </c>
      <c r="U38" s="3"/>
      <c r="V38" s="7">
        <f t="shared" si="17"/>
        <v>2.08140536005935E-4</v>
      </c>
      <c r="W38" s="3"/>
      <c r="X38" s="8">
        <f t="shared" si="18"/>
        <v>33.444192247116007</v>
      </c>
      <c r="Y38" s="3"/>
      <c r="Z38" s="7">
        <f t="shared" si="19"/>
        <v>5.1414967087940446E-2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8">
        <v>3125.36</v>
      </c>
      <c r="E39" s="3"/>
      <c r="F39" s="7">
        <f t="shared" si="12"/>
        <v>2.1716084581667496E-2</v>
      </c>
      <c r="G39" s="3"/>
      <c r="H39" s="8">
        <v>1664.68278164615</v>
      </c>
      <c r="I39" s="3"/>
      <c r="J39" s="7">
        <f t="shared" si="13"/>
        <v>1.2207999278719199E-2</v>
      </c>
      <c r="K39" s="3"/>
      <c r="L39" s="8">
        <f t="shared" si="14"/>
        <v>1460.6772183538501</v>
      </c>
      <c r="M39" s="3"/>
      <c r="N39" s="7">
        <f t="shared" si="15"/>
        <v>0.87745078789691955</v>
      </c>
      <c r="O39" s="12"/>
      <c r="P39" s="8">
        <v>15371.48</v>
      </c>
      <c r="Q39" s="3"/>
      <c r="R39" s="7">
        <f t="shared" si="16"/>
        <v>9.0824476559127221E-3</v>
      </c>
      <c r="S39" s="3"/>
      <c r="T39" s="8">
        <v>14565.9743394038</v>
      </c>
      <c r="U39" s="3"/>
      <c r="V39" s="7">
        <f t="shared" si="17"/>
        <v>4.6608492895772267E-3</v>
      </c>
      <c r="W39" s="3"/>
      <c r="X39" s="8">
        <f t="shared" si="18"/>
        <v>805.50566059619996</v>
      </c>
      <c r="Y39" s="3"/>
      <c r="Z39" s="7">
        <f t="shared" si="19"/>
        <v>5.5300499769325433E-2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8">
        <v>327.02</v>
      </c>
      <c r="E41" s="3"/>
      <c r="F41" s="7">
        <f t="shared" si="12"/>
        <v>2.2722483105616325E-3</v>
      </c>
      <c r="G41" s="3"/>
      <c r="H41" s="8"/>
      <c r="I41" s="3"/>
      <c r="J41" s="7">
        <f t="shared" si="13"/>
        <v>0</v>
      </c>
      <c r="K41" s="3"/>
      <c r="L41" s="8">
        <f t="shared" si="14"/>
        <v>327.02</v>
      </c>
      <c r="M41" s="3"/>
      <c r="N41" s="7">
        <f t="shared" si="15"/>
        <v>0</v>
      </c>
      <c r="O41" s="12"/>
      <c r="P41" s="8">
        <v>2594.2600000000002</v>
      </c>
      <c r="Q41" s="3"/>
      <c r="R41" s="7">
        <f t="shared" si="16"/>
        <v>1.5328537431547348E-3</v>
      </c>
      <c r="S41" s="3"/>
      <c r="T41" s="8"/>
      <c r="U41" s="3"/>
      <c r="V41" s="7">
        <f t="shared" si="17"/>
        <v>0</v>
      </c>
      <c r="W41" s="3"/>
      <c r="X41" s="8">
        <f t="shared" si="18"/>
        <v>2594.2600000000002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8">
        <v>3634.12</v>
      </c>
      <c r="E42" s="3"/>
      <c r="F42" s="7">
        <f t="shared" si="12"/>
        <v>2.5251125406330625E-2</v>
      </c>
      <c r="G42" s="3"/>
      <c r="H42" s="8">
        <v>1689.1935418999999</v>
      </c>
      <c r="I42" s="3"/>
      <c r="J42" s="7">
        <f t="shared" si="13"/>
        <v>1.238774964725726E-2</v>
      </c>
      <c r="K42" s="3"/>
      <c r="L42" s="8">
        <f t="shared" si="14"/>
        <v>1944.9264581</v>
      </c>
      <c r="M42" s="3"/>
      <c r="N42" s="7">
        <f t="shared" si="15"/>
        <v>1.1513934962789121</v>
      </c>
      <c r="O42" s="12"/>
      <c r="P42" s="8">
        <v>15315</v>
      </c>
      <c r="Q42" s="3"/>
      <c r="R42" s="7">
        <f t="shared" si="16"/>
        <v>9.0490756810862293E-3</v>
      </c>
      <c r="S42" s="3"/>
      <c r="T42" s="8">
        <v>14780.443491624999</v>
      </c>
      <c r="U42" s="3"/>
      <c r="V42" s="7">
        <f t="shared" si="17"/>
        <v>4.72947555325684E-3</v>
      </c>
      <c r="W42" s="3"/>
      <c r="X42" s="8">
        <f t="shared" si="18"/>
        <v>534.5565083750007</v>
      </c>
      <c r="Y42" s="3"/>
      <c r="Z42" s="7">
        <f t="shared" si="19"/>
        <v>3.6166472858402049E-2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8">
        <v>-27254.15</v>
      </c>
      <c r="E43" s="3"/>
      <c r="F43" s="7">
        <f t="shared" si="12"/>
        <v>-0.18937128094090064</v>
      </c>
      <c r="G43" s="3"/>
      <c r="H43" s="8">
        <v>1322.2281764153799</v>
      </c>
      <c r="I43" s="3"/>
      <c r="J43" s="7">
        <f t="shared" si="13"/>
        <v>9.6965985363404224E-3</v>
      </c>
      <c r="K43" s="3"/>
      <c r="L43" s="8">
        <f t="shared" si="14"/>
        <v>-28576.378176415383</v>
      </c>
      <c r="M43" s="3"/>
      <c r="N43" s="7">
        <f t="shared" si="15"/>
        <v>-21.612289532270616</v>
      </c>
      <c r="O43" s="12"/>
      <c r="P43" s="8">
        <v>-16488.240000000002</v>
      </c>
      <c r="Q43" s="3"/>
      <c r="R43" s="7">
        <f t="shared" si="16"/>
        <v>-9.7423004641144766E-3</v>
      </c>
      <c r="S43" s="3"/>
      <c r="T43" s="8">
        <v>12892.347293634601</v>
      </c>
      <c r="U43" s="3"/>
      <c r="V43" s="7">
        <f t="shared" si="17"/>
        <v>4.1253187960084807E-3</v>
      </c>
      <c r="W43" s="3"/>
      <c r="X43" s="8">
        <f t="shared" si="18"/>
        <v>-29380.587293634602</v>
      </c>
      <c r="Y43" s="3"/>
      <c r="Z43" s="7">
        <f t="shared" si="19"/>
        <v>-2.278916835271791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8">
        <v>1099.07</v>
      </c>
      <c r="E44" s="3"/>
      <c r="F44" s="7">
        <f t="shared" si="12"/>
        <v>7.6367193159102608E-3</v>
      </c>
      <c r="G44" s="3"/>
      <c r="H44" s="8">
        <v>1050</v>
      </c>
      <c r="I44" s="3"/>
      <c r="J44" s="7">
        <f t="shared" si="13"/>
        <v>7.7002053388090345E-3</v>
      </c>
      <c r="K44" s="3"/>
      <c r="L44" s="8">
        <f t="shared" si="14"/>
        <v>49.069999999999936</v>
      </c>
      <c r="M44" s="3"/>
      <c r="N44" s="7">
        <f t="shared" si="15"/>
        <v>4.6733333333333273E-2</v>
      </c>
      <c r="O44" s="12"/>
      <c r="P44" s="8">
        <v>6878.17</v>
      </c>
      <c r="Q44" s="3"/>
      <c r="R44" s="7">
        <f t="shared" si="16"/>
        <v>4.0640601291137366E-3</v>
      </c>
      <c r="S44" s="3"/>
      <c r="T44" s="8">
        <v>8400</v>
      </c>
      <c r="U44" s="3"/>
      <c r="V44" s="7">
        <f t="shared" si="17"/>
        <v>2.6878486203657011E-3</v>
      </c>
      <c r="W44" s="3"/>
      <c r="X44" s="8">
        <f t="shared" si="18"/>
        <v>-1521.83</v>
      </c>
      <c r="Y44" s="3"/>
      <c r="Z44" s="7">
        <f t="shared" si="19"/>
        <v>-0.18117023809523808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39884.450000000004</v>
      </c>
      <c r="E45" s="2"/>
      <c r="F45" s="6">
        <f t="shared" si="12"/>
        <v>0.27713098321258617</v>
      </c>
      <c r="G45" s="2"/>
      <c r="H45" s="2">
        <f>SUM(OSRRefH22_1x_0)</f>
        <v>27869.783545253802</v>
      </c>
      <c r="I45" s="2"/>
      <c r="J45" s="6">
        <f t="shared" si="13"/>
        <v>0.20438386290153859</v>
      </c>
      <c r="K45" s="2"/>
      <c r="L45" s="2">
        <f t="shared" si="14"/>
        <v>12014.666454746202</v>
      </c>
      <c r="M45" s="2"/>
      <c r="N45" s="6">
        <f t="shared" si="15"/>
        <v>0.43110009933293109</v>
      </c>
      <c r="O45" s="14"/>
      <c r="P45" s="2">
        <f>SUM(OSRRefP22_1x_0)</f>
        <v>248029.4</v>
      </c>
      <c r="Q45" s="2"/>
      <c r="R45" s="6">
        <f t="shared" si="16"/>
        <v>0.14655153847433292</v>
      </c>
      <c r="S45" s="2"/>
      <c r="T45" s="2">
        <f>SUM(OSRRefT22_1x_0)</f>
        <v>287955.63102097099</v>
      </c>
      <c r="U45" s="2"/>
      <c r="V45" s="6">
        <f t="shared" si="17"/>
        <v>9.2140612567410921E-2</v>
      </c>
      <c r="W45" s="2"/>
      <c r="X45" s="2">
        <f t="shared" si="18"/>
        <v>-39926.231020970998</v>
      </c>
      <c r="Y45" s="2"/>
      <c r="Z45" s="6">
        <f t="shared" si="19"/>
        <v>-0.13865410750749751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8">
        <v>31965.37</v>
      </c>
      <c r="E47" s="3"/>
      <c r="F47" s="7">
        <f t="shared" si="12"/>
        <v>0.22210647048797472</v>
      </c>
      <c r="G47" s="3"/>
      <c r="H47" s="8">
        <v>17293.700777253802</v>
      </c>
      <c r="I47" s="3"/>
      <c r="J47" s="7">
        <f t="shared" si="13"/>
        <v>0.12682385433597684</v>
      </c>
      <c r="K47" s="3"/>
      <c r="L47" s="8">
        <f t="shared" si="14"/>
        <v>14671.669222746197</v>
      </c>
      <c r="M47" s="3"/>
      <c r="N47" s="7">
        <f t="shared" si="15"/>
        <v>0.84838227581939363</v>
      </c>
      <c r="O47" s="12"/>
      <c r="P47" s="8">
        <v>155168.93</v>
      </c>
      <c r="Q47" s="3"/>
      <c r="R47" s="7">
        <f t="shared" si="16"/>
        <v>9.1683669012286736E-2</v>
      </c>
      <c r="S47" s="3"/>
      <c r="T47" s="8">
        <v>151319.88180097099</v>
      </c>
      <c r="U47" s="3"/>
      <c r="V47" s="7">
        <f t="shared" si="17"/>
        <v>4.8419635182457239E-2</v>
      </c>
      <c r="W47" s="3"/>
      <c r="X47" s="8">
        <f t="shared" si="18"/>
        <v>3849.0481990289991</v>
      </c>
      <c r="Y47" s="3"/>
      <c r="Z47" s="7">
        <f t="shared" si="19"/>
        <v>2.5436500169168784E-2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8">
        <v>8190.43</v>
      </c>
      <c r="E49" s="3"/>
      <c r="F49" s="7">
        <f t="shared" si="12"/>
        <v>5.6909946579026705E-2</v>
      </c>
      <c r="G49" s="3"/>
      <c r="H49" s="8">
        <v>5928.5827680000002</v>
      </c>
      <c r="I49" s="3"/>
      <c r="J49" s="7">
        <f t="shared" si="13"/>
        <v>4.347743303021414E-2</v>
      </c>
      <c r="K49" s="3"/>
      <c r="L49" s="8">
        <f t="shared" si="14"/>
        <v>2261.8472320000001</v>
      </c>
      <c r="M49" s="3"/>
      <c r="N49" s="7">
        <f t="shared" si="15"/>
        <v>0.38151567086294241</v>
      </c>
      <c r="O49" s="12"/>
      <c r="P49" s="8">
        <v>50625.31</v>
      </c>
      <c r="Q49" s="3"/>
      <c r="R49" s="7">
        <f t="shared" si="16"/>
        <v>2.9912651751123179E-2</v>
      </c>
      <c r="S49" s="3"/>
      <c r="T49" s="8">
        <v>51875.099219999996</v>
      </c>
      <c r="U49" s="3"/>
      <c r="V49" s="7">
        <f t="shared" si="17"/>
        <v>1.6599096889263195E-2</v>
      </c>
      <c r="W49" s="3"/>
      <c r="X49" s="8">
        <f t="shared" si="18"/>
        <v>-1249.7892199999987</v>
      </c>
      <c r="Y49" s="3"/>
      <c r="Z49" s="7">
        <f t="shared" si="19"/>
        <v>-2.4092276232565803E-2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8"/>
      <c r="E50" s="3"/>
      <c r="F50" s="7">
        <f t="shared" si="12"/>
        <v>0</v>
      </c>
      <c r="G50" s="3"/>
      <c r="H50" s="8">
        <v>1802</v>
      </c>
      <c r="I50" s="3"/>
      <c r="J50" s="7">
        <f t="shared" si="13"/>
        <v>1.3215019067175125E-2</v>
      </c>
      <c r="K50" s="3"/>
      <c r="L50" s="8">
        <f t="shared" si="14"/>
        <v>-1802</v>
      </c>
      <c r="M50" s="3"/>
      <c r="N50" s="7">
        <f t="shared" si="15"/>
        <v>-1</v>
      </c>
      <c r="O50" s="12"/>
      <c r="P50" s="8">
        <v>14698.31</v>
      </c>
      <c r="Q50" s="3"/>
      <c r="R50" s="7">
        <f t="shared" si="16"/>
        <v>8.6846960218130275E-3</v>
      </c>
      <c r="S50" s="3"/>
      <c r="T50" s="8">
        <v>27180.34</v>
      </c>
      <c r="U50" s="3"/>
      <c r="V50" s="7">
        <f t="shared" si="17"/>
        <v>8.6972189726274608E-3</v>
      </c>
      <c r="W50" s="3"/>
      <c r="X50" s="8">
        <f t="shared" si="18"/>
        <v>-12482.03</v>
      </c>
      <c r="Y50" s="3"/>
      <c r="Z50" s="7">
        <f t="shared" si="19"/>
        <v>-0.45923009057281844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8">
        <v>-271.35000000000002</v>
      </c>
      <c r="E52" s="3"/>
      <c r="F52" s="7">
        <f t="shared" si="12"/>
        <v>-1.8854338544153234E-3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-271.35000000000002</v>
      </c>
      <c r="M52" s="3"/>
      <c r="N52" s="7">
        <f t="shared" si="15"/>
        <v>0</v>
      </c>
      <c r="O52" s="12"/>
      <c r="P52" s="8">
        <v>23570.37</v>
      </c>
      <c r="Q52" s="3"/>
      <c r="R52" s="7">
        <f t="shared" si="16"/>
        <v>1.3926873128384226E-2</v>
      </c>
      <c r="S52" s="3"/>
      <c r="T52" s="8">
        <v>26246.25</v>
      </c>
      <c r="U52" s="3"/>
      <c r="V52" s="7">
        <f t="shared" si="17"/>
        <v>8.3983270062230088E-3</v>
      </c>
      <c r="W52" s="3"/>
      <c r="X52" s="8">
        <f t="shared" si="18"/>
        <v>-2675.880000000001</v>
      </c>
      <c r="Y52" s="3"/>
      <c r="Z52" s="7">
        <f t="shared" si="19"/>
        <v>-0.10195285040720106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2845.5</v>
      </c>
      <c r="I53" s="3"/>
      <c r="J53" s="7">
        <f t="shared" si="13"/>
        <v>2.0867556468172486E-2</v>
      </c>
      <c r="K53" s="3"/>
      <c r="L53" s="8">
        <f t="shared" si="14"/>
        <v>-2845.5</v>
      </c>
      <c r="M53" s="3"/>
      <c r="N53" s="7">
        <f t="shared" si="15"/>
        <v>-1</v>
      </c>
      <c r="O53" s="12"/>
      <c r="P53" s="8">
        <v>3966.48</v>
      </c>
      <c r="Q53" s="3"/>
      <c r="R53" s="7">
        <f t="shared" si="16"/>
        <v>2.343648560725753E-3</v>
      </c>
      <c r="S53" s="3"/>
      <c r="T53" s="8">
        <v>31334.06</v>
      </c>
      <c r="U53" s="3"/>
      <c r="V53" s="7">
        <f t="shared" si="17"/>
        <v>1.0026334516840011E-2</v>
      </c>
      <c r="W53" s="3"/>
      <c r="X53" s="8">
        <f t="shared" si="18"/>
        <v>-27367.58</v>
      </c>
      <c r="Y53" s="3"/>
      <c r="Z53" s="7">
        <f t="shared" si="19"/>
        <v>-0.87341314850357732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40.54</v>
      </c>
      <c r="E56" s="2"/>
      <c r="F56" s="6">
        <f t="shared" si="12"/>
        <v>2.8168597183710043E-4</v>
      </c>
      <c r="G56" s="2"/>
      <c r="H56" s="2">
        <f>SUM(OSRRefH22_2x_0)</f>
        <v>100</v>
      </c>
      <c r="I56" s="2"/>
      <c r="J56" s="6">
        <f t="shared" si="13"/>
        <v>7.3335288941038426E-4</v>
      </c>
      <c r="K56" s="2"/>
      <c r="L56" s="2">
        <f t="shared" si="14"/>
        <v>-59.46</v>
      </c>
      <c r="M56" s="2"/>
      <c r="N56" s="6">
        <f t="shared" si="15"/>
        <v>-0.59460000000000002</v>
      </c>
      <c r="O56" s="14"/>
      <c r="P56" s="2">
        <f>SUM(OSRRefP22_2x_0)</f>
        <v>837.79</v>
      </c>
      <c r="Q56" s="2"/>
      <c r="R56" s="6">
        <f t="shared" si="16"/>
        <v>4.9501959613824562E-4</v>
      </c>
      <c r="S56" s="2"/>
      <c r="T56" s="2">
        <f>SUM(OSRRefT22_2x_0)</f>
        <v>2800</v>
      </c>
      <c r="U56" s="2"/>
      <c r="V56" s="6">
        <f t="shared" si="17"/>
        <v>8.9594954012190038E-4</v>
      </c>
      <c r="W56" s="2"/>
      <c r="X56" s="2">
        <f t="shared" si="18"/>
        <v>-1962.21</v>
      </c>
      <c r="Y56" s="2"/>
      <c r="Z56" s="6">
        <f t="shared" si="19"/>
        <v>-0.70078928571428578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8">
        <v>40.54</v>
      </c>
      <c r="E57" s="3"/>
      <c r="F57" s="7">
        <f t="shared" si="12"/>
        <v>2.8168597183710043E-4</v>
      </c>
      <c r="G57" s="3"/>
      <c r="H57" s="8">
        <v>100</v>
      </c>
      <c r="I57" s="3"/>
      <c r="J57" s="7">
        <f t="shared" si="13"/>
        <v>7.3335288941038426E-4</v>
      </c>
      <c r="K57" s="3"/>
      <c r="L57" s="8">
        <f t="shared" si="14"/>
        <v>-59.46</v>
      </c>
      <c r="M57" s="3"/>
      <c r="N57" s="7">
        <f t="shared" si="15"/>
        <v>-0.59460000000000002</v>
      </c>
      <c r="O57" s="12"/>
      <c r="P57" s="8">
        <v>837.79</v>
      </c>
      <c r="Q57" s="3"/>
      <c r="R57" s="7">
        <f t="shared" si="16"/>
        <v>4.9501959613824562E-4</v>
      </c>
      <c r="S57" s="3"/>
      <c r="T57" s="8">
        <v>2800</v>
      </c>
      <c r="U57" s="3"/>
      <c r="V57" s="7">
        <f t="shared" si="17"/>
        <v>8.9594954012190038E-4</v>
      </c>
      <c r="W57" s="3"/>
      <c r="X57" s="8">
        <f t="shared" si="18"/>
        <v>-1962.21</v>
      </c>
      <c r="Y57" s="3"/>
      <c r="Z57" s="7">
        <f t="shared" si="19"/>
        <v>-0.70078928571428578</v>
      </c>
    </row>
    <row r="58" spans="1:26" s="69" customFormat="1" ht="15" customHeight="1" outlineLevel="1" collapsed="1" x14ac:dyDescent="0.3">
      <c r="A58" s="25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7.9766582889104862E-7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","6382"," - ","DISCOUNTS/MARK DOWNS")</f>
        <v xml:space="preserve">          6382 - DISCOUNTS/MARK DOWNS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>
        <v>1.35</v>
      </c>
      <c r="Q59" s="3"/>
      <c r="R59" s="7">
        <f t="shared" si="16"/>
        <v>7.9766582889104862E-7</v>
      </c>
      <c r="S59" s="3"/>
      <c r="T59" s="8"/>
      <c r="U59" s="3"/>
      <c r="V59" s="7">
        <f t="shared" si="17"/>
        <v>0</v>
      </c>
      <c r="W59" s="3"/>
      <c r="X59" s="8">
        <f t="shared" si="18"/>
        <v>1.35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3.6667644470519213E-4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400</v>
      </c>
      <c r="U60" s="2"/>
      <c r="V60" s="6">
        <f t="shared" si="17"/>
        <v>1.2799279144598576E-4</v>
      </c>
      <c r="W60" s="2"/>
      <c r="X60" s="2">
        <f t="shared" si="18"/>
        <v>-400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50</v>
      </c>
      <c r="I61" s="3"/>
      <c r="J61" s="7">
        <f t="shared" si="13"/>
        <v>3.6667644470519213E-4</v>
      </c>
      <c r="K61" s="3"/>
      <c r="L61" s="8">
        <f t="shared" si="14"/>
        <v>-50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400</v>
      </c>
      <c r="U61" s="3"/>
      <c r="V61" s="7">
        <f t="shared" si="17"/>
        <v>1.2799279144598576E-4</v>
      </c>
      <c r="W61" s="3"/>
      <c r="X61" s="8">
        <f t="shared" si="18"/>
        <v>-400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6.3410611223122318E-4</v>
      </c>
      <c r="G62" s="2"/>
      <c r="H62" s="2">
        <f>SUM(OSRRefH22_5x_0)</f>
        <v>100</v>
      </c>
      <c r="I62" s="2"/>
      <c r="J62" s="6">
        <f t="shared" si="13"/>
        <v>7.3335288941038426E-4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730.08</v>
      </c>
      <c r="Q62" s="2"/>
      <c r="R62" s="6">
        <f t="shared" si="16"/>
        <v>4.3137768026427908E-4</v>
      </c>
      <c r="S62" s="2"/>
      <c r="T62" s="2">
        <f>SUM(OSRRefT22_5x_0)</f>
        <v>800</v>
      </c>
      <c r="U62" s="2"/>
      <c r="V62" s="6">
        <f t="shared" si="17"/>
        <v>2.5598558289197153E-4</v>
      </c>
      <c r="W62" s="2"/>
      <c r="X62" s="2">
        <f t="shared" si="18"/>
        <v>-69.919999999999959</v>
      </c>
      <c r="Y62" s="2"/>
      <c r="Z62" s="6">
        <f t="shared" si="19"/>
        <v>-8.739999999999995E-2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8">
        <v>91.26</v>
      </c>
      <c r="E63" s="3"/>
      <c r="F63" s="7">
        <f t="shared" si="12"/>
        <v>6.3410611223122318E-4</v>
      </c>
      <c r="G63" s="3"/>
      <c r="H63" s="8">
        <v>100</v>
      </c>
      <c r="I63" s="3"/>
      <c r="J63" s="7">
        <f t="shared" si="13"/>
        <v>7.3335288941038426E-4</v>
      </c>
      <c r="K63" s="3"/>
      <c r="L63" s="8">
        <f t="shared" si="14"/>
        <v>-8.7399999999999949</v>
      </c>
      <c r="M63" s="3"/>
      <c r="N63" s="7">
        <f t="shared" si="15"/>
        <v>-8.739999999999995E-2</v>
      </c>
      <c r="O63" s="12"/>
      <c r="P63" s="8">
        <v>730.08</v>
      </c>
      <c r="Q63" s="3"/>
      <c r="R63" s="7">
        <f t="shared" si="16"/>
        <v>4.3137768026427908E-4</v>
      </c>
      <c r="S63" s="3"/>
      <c r="T63" s="8">
        <v>800</v>
      </c>
      <c r="U63" s="3"/>
      <c r="V63" s="7">
        <f t="shared" si="17"/>
        <v>2.5598558289197153E-4</v>
      </c>
      <c r="W63" s="3"/>
      <c r="X63" s="8">
        <f t="shared" si="18"/>
        <v>-69.919999999999959</v>
      </c>
      <c r="Y63" s="3"/>
      <c r="Z63" s="7">
        <f t="shared" si="19"/>
        <v>-8.739999999999995E-2</v>
      </c>
    </row>
    <row r="64" spans="1:26" s="69" customFormat="1" ht="15" customHeight="1" outlineLevel="1" collapsed="1" x14ac:dyDescent="0.3">
      <c r="A64" s="25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1.06</v>
      </c>
      <c r="E64" s="2"/>
      <c r="F64" s="6">
        <f t="shared" si="12"/>
        <v>7.3652474135995682E-6</v>
      </c>
      <c r="G64" s="2"/>
      <c r="H64" s="2">
        <f>SUM(OSRRefH22_6x_0)</f>
        <v>1800</v>
      </c>
      <c r="I64" s="2"/>
      <c r="J64" s="6">
        <f t="shared" si="13"/>
        <v>1.3200352009386917E-2</v>
      </c>
      <c r="K64" s="2"/>
      <c r="L64" s="2">
        <f t="shared" si="14"/>
        <v>-1798.94</v>
      </c>
      <c r="M64" s="2"/>
      <c r="N64" s="6">
        <f t="shared" si="15"/>
        <v>-0.99941111111111114</v>
      </c>
      <c r="O64" s="14"/>
      <c r="P64" s="2">
        <f>SUM(OSRRefP22_6x_0)</f>
        <v>5623.17</v>
      </c>
      <c r="Q64" s="2"/>
      <c r="R64" s="6">
        <f t="shared" si="16"/>
        <v>3.3225263400335392E-3</v>
      </c>
      <c r="S64" s="2"/>
      <c r="T64" s="2">
        <f>SUM(OSRRefT22_6x_0)</f>
        <v>10500</v>
      </c>
      <c r="U64" s="2"/>
      <c r="V64" s="6">
        <f t="shared" si="17"/>
        <v>3.3598107754571264E-3</v>
      </c>
      <c r="W64" s="2"/>
      <c r="X64" s="2">
        <f t="shared" si="18"/>
        <v>-4876.83</v>
      </c>
      <c r="Y64" s="2"/>
      <c r="Z64" s="6">
        <f t="shared" si="19"/>
        <v>-0.46445999999999998</v>
      </c>
    </row>
    <row r="65" spans="1:26" s="70" customFormat="1" ht="15" hidden="1" customHeight="1" outlineLevel="2" x14ac:dyDescent="0.3">
      <c r="A65" s="26"/>
      <c r="B65" s="12" t="str">
        <f>CONCATENATE("          ","6305"," - ","FREIGHT OUT")</f>
        <v xml:space="preserve">          6305 - FREIGHT OUT</v>
      </c>
      <c r="C65" s="12"/>
      <c r="D65" s="8"/>
      <c r="E65" s="3"/>
      <c r="F65" s="7">
        <f t="shared" ref="F65:F85" si="20">IF(D$12=0,0,D65/D$12)</f>
        <v>0</v>
      </c>
      <c r="G65" s="3"/>
      <c r="H65" s="8">
        <v>1800</v>
      </c>
      <c r="I65" s="3"/>
      <c r="J65" s="7">
        <f t="shared" ref="J65:J85" si="21">IF(H$12=0,0,H65/H$12)</f>
        <v>1.3200352009386917E-2</v>
      </c>
      <c r="K65" s="3"/>
      <c r="L65" s="8">
        <f t="shared" ref="L65:L85" si="22">+D65-H65</f>
        <v>-1800</v>
      </c>
      <c r="M65" s="3"/>
      <c r="N65" s="7">
        <f t="shared" ref="N65:N85" si="23">IF(H65=0,0,L65/H65)</f>
        <v>-1</v>
      </c>
      <c r="O65" s="12"/>
      <c r="P65" s="8">
        <v>5621.58</v>
      </c>
      <c r="Q65" s="3"/>
      <c r="R65" s="7">
        <f t="shared" ref="R65:R85" si="24">IF(P$12=0,0,P65/P$12)</f>
        <v>3.3215868669461785E-3</v>
      </c>
      <c r="S65" s="3"/>
      <c r="T65" s="8">
        <v>10500</v>
      </c>
      <c r="U65" s="3"/>
      <c r="V65" s="7">
        <f t="shared" ref="V65:V85" si="25">IF(T$12=0,0,T65/T$12)</f>
        <v>3.3598107754571264E-3</v>
      </c>
      <c r="W65" s="3"/>
      <c r="X65" s="8">
        <f t="shared" ref="X65:X85" si="26">+P65-T65</f>
        <v>-4878.42</v>
      </c>
      <c r="Y65" s="3"/>
      <c r="Z65" s="7">
        <f t="shared" ref="Z65:Z85" si="27">IF(T65=0,0,X65/T65)</f>
        <v>-0.46461142857142856</v>
      </c>
    </row>
    <row r="66" spans="1:26" s="70" customFormat="1" ht="15" hidden="1" customHeight="1" outlineLevel="2" x14ac:dyDescent="0.3">
      <c r="A66" s="26"/>
      <c r="B66" s="12" t="str">
        <f>CONCATENATE("          ","6307"," - ","POSTAGE")</f>
        <v xml:space="preserve">          6307 - POSTAGE</v>
      </c>
      <c r="C66" s="12"/>
      <c r="D66" s="8">
        <v>1.06</v>
      </c>
      <c r="E66" s="3"/>
      <c r="F66" s="7">
        <f t="shared" si="20"/>
        <v>7.3652474135995682E-6</v>
      </c>
      <c r="G66" s="3"/>
      <c r="H66" s="8"/>
      <c r="I66" s="3"/>
      <c r="J66" s="7">
        <f t="shared" si="21"/>
        <v>0</v>
      </c>
      <c r="K66" s="3"/>
      <c r="L66" s="8">
        <f t="shared" si="22"/>
        <v>1.06</v>
      </c>
      <c r="M66" s="3"/>
      <c r="N66" s="7">
        <f t="shared" si="23"/>
        <v>0</v>
      </c>
      <c r="O66" s="12"/>
      <c r="P66" s="8">
        <v>1.59</v>
      </c>
      <c r="Q66" s="3"/>
      <c r="R66" s="7">
        <f t="shared" si="24"/>
        <v>9.3947308736056844E-7</v>
      </c>
      <c r="S66" s="3"/>
      <c r="T66" s="8"/>
      <c r="U66" s="3"/>
      <c r="V66" s="7">
        <f t="shared" si="25"/>
        <v>0</v>
      </c>
      <c r="W66" s="3"/>
      <c r="X66" s="8">
        <f t="shared" si="26"/>
        <v>1.59</v>
      </c>
      <c r="Y66" s="3"/>
      <c r="Z66" s="7">
        <f t="shared" si="27"/>
        <v>0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125</v>
      </c>
      <c r="I67" s="2"/>
      <c r="J67" s="6">
        <f t="shared" si="21"/>
        <v>9.1669111176298035E-4</v>
      </c>
      <c r="K67" s="2"/>
      <c r="L67" s="2">
        <f t="shared" si="22"/>
        <v>-125</v>
      </c>
      <c r="M67" s="2"/>
      <c r="N67" s="6">
        <f t="shared" si="23"/>
        <v>-1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1500</v>
      </c>
      <c r="U67" s="2"/>
      <c r="V67" s="6">
        <f t="shared" si="25"/>
        <v>4.7997296792244663E-4</v>
      </c>
      <c r="W67" s="2"/>
      <c r="X67" s="2">
        <f t="shared" si="26"/>
        <v>-1500</v>
      </c>
      <c r="Y67" s="2"/>
      <c r="Z67" s="6">
        <f t="shared" si="27"/>
        <v>-1</v>
      </c>
    </row>
    <row r="68" spans="1:26" s="70" customFormat="1" ht="15" hidden="1" customHeight="1" outlineLevel="2" x14ac:dyDescent="0.3">
      <c r="A68" s="26"/>
      <c r="B68" s="12" t="str">
        <f>CONCATENATE("          ","6279"," - ","GENERAL EXPENSE")</f>
        <v xml:space="preserve">          6279 - GENERAL EXPENSE</v>
      </c>
      <c r="C68" s="12"/>
      <c r="D68" s="8"/>
      <c r="E68" s="3"/>
      <c r="F68" s="7">
        <f t="shared" si="20"/>
        <v>0</v>
      </c>
      <c r="G68" s="3"/>
      <c r="H68" s="8">
        <v>125</v>
      </c>
      <c r="I68" s="3"/>
      <c r="J68" s="7">
        <f t="shared" si="21"/>
        <v>9.1669111176298035E-4</v>
      </c>
      <c r="K68" s="3"/>
      <c r="L68" s="8">
        <f t="shared" si="22"/>
        <v>-125</v>
      </c>
      <c r="M68" s="3"/>
      <c r="N68" s="7">
        <f t="shared" si="23"/>
        <v>-1</v>
      </c>
      <c r="O68" s="12"/>
      <c r="P68" s="8"/>
      <c r="Q68" s="3"/>
      <c r="R68" s="7">
        <f t="shared" si="24"/>
        <v>0</v>
      </c>
      <c r="S68" s="3"/>
      <c r="T68" s="8">
        <v>1500</v>
      </c>
      <c r="U68" s="3"/>
      <c r="V68" s="7">
        <f t="shared" si="25"/>
        <v>4.7997296792244663E-4</v>
      </c>
      <c r="W68" s="3"/>
      <c r="X68" s="8">
        <f t="shared" si="26"/>
        <v>-1500</v>
      </c>
      <c r="Y68" s="3"/>
      <c r="Z68" s="7">
        <f t="shared" si="27"/>
        <v>-1</v>
      </c>
    </row>
    <row r="69" spans="1:26" s="69" customFormat="1" ht="15" customHeight="1" outlineLevel="1" collapsed="1" x14ac:dyDescent="0.3">
      <c r="A69" s="25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6.9483466166033658E-3</v>
      </c>
      <c r="G69" s="2"/>
      <c r="H69" s="2">
        <f>SUM(OSRRefH22_8x_0)</f>
        <v>1000</v>
      </c>
      <c r="I69" s="2"/>
      <c r="J69" s="6">
        <f t="shared" si="21"/>
        <v>7.3335288941038428E-3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12000</v>
      </c>
      <c r="Q69" s="2"/>
      <c r="R69" s="6">
        <f t="shared" si="24"/>
        <v>7.0903629234759877E-3</v>
      </c>
      <c r="S69" s="2"/>
      <c r="T69" s="2">
        <f>SUM(OSRRefT22_8x_0)</f>
        <v>12000</v>
      </c>
      <c r="U69" s="2"/>
      <c r="V69" s="6">
        <f t="shared" si="25"/>
        <v>3.839783743379573E-3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3">
      <c r="A70" s="26"/>
      <c r="B70" s="12" t="str">
        <f>CONCATENATE("          ","6408"," - ","INVENTORY ADJUSTMENT")</f>
        <v xml:space="preserve">          6408 - INVENTORY ADJUSTMENT</v>
      </c>
      <c r="C70" s="12"/>
      <c r="D70" s="8">
        <v>1000</v>
      </c>
      <c r="E70" s="3"/>
      <c r="F70" s="7">
        <f t="shared" si="20"/>
        <v>6.9483466166033658E-3</v>
      </c>
      <c r="G70" s="3"/>
      <c r="H70" s="8">
        <v>1000</v>
      </c>
      <c r="I70" s="3"/>
      <c r="J70" s="7">
        <f t="shared" si="21"/>
        <v>7.3335288941038428E-3</v>
      </c>
      <c r="K70" s="3"/>
      <c r="L70" s="8">
        <f t="shared" si="22"/>
        <v>0</v>
      </c>
      <c r="M70" s="3"/>
      <c r="N70" s="7">
        <f t="shared" si="23"/>
        <v>0</v>
      </c>
      <c r="O70" s="12"/>
      <c r="P70" s="8">
        <v>12000</v>
      </c>
      <c r="Q70" s="3"/>
      <c r="R70" s="7">
        <f t="shared" si="24"/>
        <v>7.0903629234759877E-3</v>
      </c>
      <c r="S70" s="3"/>
      <c r="T70" s="8">
        <v>12000</v>
      </c>
      <c r="U70" s="3"/>
      <c r="V70" s="7">
        <f t="shared" si="25"/>
        <v>3.839783743379573E-3</v>
      </c>
      <c r="W70" s="3"/>
      <c r="X70" s="8">
        <f t="shared" si="26"/>
        <v>0</v>
      </c>
      <c r="Y70" s="3"/>
      <c r="Z70" s="7">
        <f t="shared" si="27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16.850000000000001</v>
      </c>
      <c r="E71" s="2"/>
      <c r="F71" s="6">
        <f t="shared" si="20"/>
        <v>1.1707964048976673E-4</v>
      </c>
      <c r="G71" s="2"/>
      <c r="H71" s="2">
        <f>SUM(OSRRefH22_9x_0)</f>
        <v>80</v>
      </c>
      <c r="I71" s="2"/>
      <c r="J71" s="6">
        <f t="shared" si="21"/>
        <v>5.8668231152830743E-4</v>
      </c>
      <c r="K71" s="2"/>
      <c r="L71" s="2">
        <f t="shared" si="22"/>
        <v>-63.15</v>
      </c>
      <c r="M71" s="2"/>
      <c r="N71" s="6">
        <f t="shared" si="23"/>
        <v>-0.78937499999999994</v>
      </c>
      <c r="O71" s="14"/>
      <c r="P71" s="2">
        <f>SUM(OSRRefP22_9x_0)</f>
        <v>5895.85</v>
      </c>
      <c r="Q71" s="2"/>
      <c r="R71" s="6">
        <f t="shared" si="24"/>
        <v>3.483643020197992E-3</v>
      </c>
      <c r="S71" s="2"/>
      <c r="T71" s="2">
        <f>SUM(OSRRefT22_9x_0)</f>
        <v>640</v>
      </c>
      <c r="U71" s="2"/>
      <c r="V71" s="6">
        <f t="shared" si="25"/>
        <v>2.0478846631357721E-4</v>
      </c>
      <c r="W71" s="2"/>
      <c r="X71" s="2">
        <f t="shared" si="26"/>
        <v>5255.85</v>
      </c>
      <c r="Y71" s="2"/>
      <c r="Z71" s="6">
        <f t="shared" si="27"/>
        <v>8.2122656250000006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8"/>
      <c r="E72" s="3"/>
      <c r="F72" s="7">
        <f t="shared" si="20"/>
        <v>0</v>
      </c>
      <c r="G72" s="3"/>
      <c r="H72" s="8"/>
      <c r="I72" s="3"/>
      <c r="J72" s="7">
        <f t="shared" si="21"/>
        <v>0</v>
      </c>
      <c r="K72" s="3"/>
      <c r="L72" s="8">
        <f t="shared" si="22"/>
        <v>0</v>
      </c>
      <c r="M72" s="3"/>
      <c r="N72" s="7">
        <f t="shared" si="23"/>
        <v>0</v>
      </c>
      <c r="O72" s="12"/>
      <c r="P72" s="8">
        <v>5775</v>
      </c>
      <c r="Q72" s="3"/>
      <c r="R72" s="7">
        <f t="shared" si="24"/>
        <v>3.4122371569228192E-3</v>
      </c>
      <c r="S72" s="3"/>
      <c r="T72" s="8"/>
      <c r="U72" s="3"/>
      <c r="V72" s="7">
        <f t="shared" si="25"/>
        <v>0</v>
      </c>
      <c r="W72" s="3"/>
      <c r="X72" s="8">
        <f t="shared" si="26"/>
        <v>5775</v>
      </c>
      <c r="Y72" s="3"/>
      <c r="Z72" s="7">
        <f t="shared" si="27"/>
        <v>0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8">
        <v>16.850000000000001</v>
      </c>
      <c r="E73" s="3"/>
      <c r="F73" s="7">
        <f t="shared" si="20"/>
        <v>1.1707964048976673E-4</v>
      </c>
      <c r="G73" s="3"/>
      <c r="H73" s="8">
        <v>40</v>
      </c>
      <c r="I73" s="3"/>
      <c r="J73" s="7">
        <f t="shared" si="21"/>
        <v>2.9334115576415371E-4</v>
      </c>
      <c r="K73" s="3"/>
      <c r="L73" s="8">
        <f t="shared" si="22"/>
        <v>-23.15</v>
      </c>
      <c r="M73" s="3"/>
      <c r="N73" s="7">
        <f t="shared" si="23"/>
        <v>-0.57874999999999999</v>
      </c>
      <c r="O73" s="12"/>
      <c r="P73" s="8">
        <v>120.85</v>
      </c>
      <c r="Q73" s="3"/>
      <c r="R73" s="7">
        <f t="shared" si="24"/>
        <v>7.1405863275172753E-5</v>
      </c>
      <c r="S73" s="3"/>
      <c r="T73" s="8">
        <v>320</v>
      </c>
      <c r="U73" s="3"/>
      <c r="V73" s="7">
        <f t="shared" si="25"/>
        <v>1.023942331567886E-4</v>
      </c>
      <c r="W73" s="3"/>
      <c r="X73" s="8">
        <f t="shared" si="26"/>
        <v>-199.15</v>
      </c>
      <c r="Y73" s="3"/>
      <c r="Z73" s="7">
        <f t="shared" si="27"/>
        <v>-0.62234374999999997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8"/>
      <c r="E74" s="3"/>
      <c r="F74" s="7">
        <f t="shared" si="20"/>
        <v>0</v>
      </c>
      <c r="G74" s="3"/>
      <c r="H74" s="8">
        <v>40</v>
      </c>
      <c r="I74" s="3"/>
      <c r="J74" s="7">
        <f t="shared" si="21"/>
        <v>2.9334115576415371E-4</v>
      </c>
      <c r="K74" s="3"/>
      <c r="L74" s="8">
        <f t="shared" si="22"/>
        <v>-40</v>
      </c>
      <c r="M74" s="3"/>
      <c r="N74" s="7">
        <f t="shared" si="23"/>
        <v>-1</v>
      </c>
      <c r="O74" s="12"/>
      <c r="P74" s="8"/>
      <c r="Q74" s="3"/>
      <c r="R74" s="7">
        <f t="shared" si="24"/>
        <v>0</v>
      </c>
      <c r="S74" s="3"/>
      <c r="T74" s="8">
        <v>320</v>
      </c>
      <c r="U74" s="3"/>
      <c r="V74" s="7">
        <f t="shared" si="25"/>
        <v>1.023942331567886E-4</v>
      </c>
      <c r="W74" s="3"/>
      <c r="X74" s="8">
        <f t="shared" si="26"/>
        <v>-320</v>
      </c>
      <c r="Y74" s="3"/>
      <c r="Z74" s="7">
        <f t="shared" si="27"/>
        <v>-1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131.72</v>
      </c>
      <c r="E75" s="2"/>
      <c r="F75" s="6">
        <f t="shared" si="20"/>
        <v>9.1523621633899537E-4</v>
      </c>
      <c r="G75" s="2"/>
      <c r="H75" s="2">
        <f>SUM(OSRRefH22_10x_0)</f>
        <v>300</v>
      </c>
      <c r="I75" s="2"/>
      <c r="J75" s="6">
        <f t="shared" si="21"/>
        <v>2.2000586682311527E-3</v>
      </c>
      <c r="K75" s="2"/>
      <c r="L75" s="2">
        <f t="shared" si="22"/>
        <v>-168.28</v>
      </c>
      <c r="M75" s="2"/>
      <c r="N75" s="6">
        <f t="shared" si="23"/>
        <v>-0.56093333333333328</v>
      </c>
      <c r="O75" s="14"/>
      <c r="P75" s="2">
        <f>SUM(OSRRefP22_10x_0)</f>
        <v>1945.45</v>
      </c>
      <c r="Q75" s="2"/>
      <c r="R75" s="6">
        <f t="shared" si="24"/>
        <v>1.1494955457896968E-3</v>
      </c>
      <c r="S75" s="2"/>
      <c r="T75" s="2">
        <f>SUM(OSRRefT22_10x_0)</f>
        <v>4300</v>
      </c>
      <c r="U75" s="2"/>
      <c r="V75" s="6">
        <f t="shared" si="25"/>
        <v>1.375922508044347E-3</v>
      </c>
      <c r="W75" s="2"/>
      <c r="X75" s="2">
        <f t="shared" si="26"/>
        <v>-2354.5500000000002</v>
      </c>
      <c r="Y75" s="2"/>
      <c r="Z75" s="6">
        <f t="shared" si="27"/>
        <v>-0.54756976744186048</v>
      </c>
    </row>
    <row r="76" spans="1:26" s="70" customFormat="1" ht="15" hidden="1" customHeight="1" outlineLevel="2" x14ac:dyDescent="0.3">
      <c r="A76" s="26"/>
      <c r="B76" s="12" t="str">
        <f>CONCATENATE("          ","6258"," - ","MEMBERSHIP DUES")</f>
        <v xml:space="preserve">          6258 - MEMBERSHIP DUES</v>
      </c>
      <c r="C76" s="12"/>
      <c r="D76" s="8">
        <v>131.72</v>
      </c>
      <c r="E76" s="3"/>
      <c r="F76" s="7">
        <f t="shared" si="20"/>
        <v>9.1523621633899537E-4</v>
      </c>
      <c r="G76" s="3"/>
      <c r="H76" s="8">
        <v>300</v>
      </c>
      <c r="I76" s="3"/>
      <c r="J76" s="7">
        <f t="shared" si="21"/>
        <v>2.2000586682311527E-3</v>
      </c>
      <c r="K76" s="3"/>
      <c r="L76" s="8">
        <f t="shared" si="22"/>
        <v>-168.28</v>
      </c>
      <c r="M76" s="3"/>
      <c r="N76" s="7">
        <f t="shared" si="23"/>
        <v>-0.56093333333333328</v>
      </c>
      <c r="O76" s="12"/>
      <c r="P76" s="8">
        <v>1945.45</v>
      </c>
      <c r="Q76" s="3"/>
      <c r="R76" s="7">
        <f t="shared" si="24"/>
        <v>1.1494955457896968E-3</v>
      </c>
      <c r="S76" s="3"/>
      <c r="T76" s="8">
        <v>2400</v>
      </c>
      <c r="U76" s="3"/>
      <c r="V76" s="7">
        <f t="shared" si="25"/>
        <v>7.6795674867591454E-4</v>
      </c>
      <c r="W76" s="3"/>
      <c r="X76" s="8">
        <f t="shared" si="26"/>
        <v>-454.54999999999995</v>
      </c>
      <c r="Y76" s="3"/>
      <c r="Z76" s="7">
        <f t="shared" si="27"/>
        <v>-0.18939583333333332</v>
      </c>
    </row>
    <row r="77" spans="1:26" s="70" customFormat="1" ht="15" hidden="1" customHeight="1" outlineLevel="2" x14ac:dyDescent="0.3">
      <c r="A77" s="26"/>
      <c r="B77" s="12" t="str">
        <f>CONCATENATE("          ","6275"," - ","SUBSCRIPTIONS")</f>
        <v xml:space="preserve">          6275 - SUBSCRIPTIONS</v>
      </c>
      <c r="C77" s="12"/>
      <c r="D77" s="8"/>
      <c r="E77" s="3"/>
      <c r="F77" s="7">
        <f t="shared" si="20"/>
        <v>0</v>
      </c>
      <c r="G77" s="3"/>
      <c r="H77" s="8"/>
      <c r="I77" s="3"/>
      <c r="J77" s="7">
        <f t="shared" si="21"/>
        <v>0</v>
      </c>
      <c r="K77" s="3"/>
      <c r="L77" s="8">
        <f t="shared" si="22"/>
        <v>0</v>
      </c>
      <c r="M77" s="3"/>
      <c r="N77" s="7">
        <f t="shared" si="23"/>
        <v>0</v>
      </c>
      <c r="O77" s="12"/>
      <c r="P77" s="8"/>
      <c r="Q77" s="3"/>
      <c r="R77" s="7">
        <f t="shared" si="24"/>
        <v>0</v>
      </c>
      <c r="S77" s="3"/>
      <c r="T77" s="8">
        <v>1900</v>
      </c>
      <c r="U77" s="3"/>
      <c r="V77" s="7">
        <f t="shared" si="25"/>
        <v>6.0796575936843242E-4</v>
      </c>
      <c r="W77" s="3"/>
      <c r="X77" s="8">
        <f t="shared" si="26"/>
        <v>-1900</v>
      </c>
      <c r="Y77" s="3"/>
      <c r="Z77" s="7">
        <f t="shared" si="27"/>
        <v>-1</v>
      </c>
    </row>
    <row r="78" spans="1:26" s="69" customFormat="1" ht="15" customHeight="1" outlineLevel="1" collapsed="1" x14ac:dyDescent="0.3">
      <c r="A78" s="25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77.47999999999999</v>
      </c>
      <c r="E78" s="2"/>
      <c r="F78" s="6">
        <f t="shared" si="20"/>
        <v>5.3835789585442867E-4</v>
      </c>
      <c r="G78" s="2"/>
      <c r="H78" s="2">
        <f>SUM(OSRRefH22_11x_0)</f>
        <v>1700</v>
      </c>
      <c r="I78" s="2"/>
      <c r="J78" s="6">
        <f t="shared" si="21"/>
        <v>1.2466999119976533E-2</v>
      </c>
      <c r="K78" s="2"/>
      <c r="L78" s="2">
        <f t="shared" si="22"/>
        <v>-1622.52</v>
      </c>
      <c r="M78" s="2"/>
      <c r="N78" s="6">
        <f t="shared" si="23"/>
        <v>-0.95442352941176467</v>
      </c>
      <c r="O78" s="14"/>
      <c r="P78" s="2">
        <f>SUM(OSRRefP22_11x_0)</f>
        <v>1198.25</v>
      </c>
      <c r="Q78" s="2"/>
      <c r="R78" s="6">
        <f t="shared" si="24"/>
        <v>7.0800228108792518E-4</v>
      </c>
      <c r="S78" s="2"/>
      <c r="T78" s="2">
        <f>SUM(OSRRefT22_11x_0)</f>
        <v>7300</v>
      </c>
      <c r="U78" s="2"/>
      <c r="V78" s="6">
        <f t="shared" si="25"/>
        <v>2.3358684438892401E-3</v>
      </c>
      <c r="W78" s="2"/>
      <c r="X78" s="2">
        <f t="shared" si="26"/>
        <v>-6101.75</v>
      </c>
      <c r="Y78" s="2"/>
      <c r="Z78" s="6">
        <f t="shared" si="27"/>
        <v>-0.83585616438356169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8">
        <v>70.989999999999995</v>
      </c>
      <c r="E79" s="3"/>
      <c r="F79" s="7">
        <f t="shared" si="20"/>
        <v>4.9326312631267286E-4</v>
      </c>
      <c r="G79" s="3"/>
      <c r="H79" s="8">
        <v>500</v>
      </c>
      <c r="I79" s="3"/>
      <c r="J79" s="7">
        <f t="shared" si="21"/>
        <v>3.6667644470519214E-3</v>
      </c>
      <c r="K79" s="3"/>
      <c r="L79" s="8">
        <f t="shared" si="22"/>
        <v>-429.01</v>
      </c>
      <c r="M79" s="3"/>
      <c r="N79" s="7">
        <f t="shared" si="23"/>
        <v>-0.85802</v>
      </c>
      <c r="O79" s="12"/>
      <c r="P79" s="8">
        <v>1191.76</v>
      </c>
      <c r="Q79" s="3"/>
      <c r="R79" s="7">
        <f t="shared" si="24"/>
        <v>7.0416757647347855E-4</v>
      </c>
      <c r="S79" s="3"/>
      <c r="T79" s="8">
        <v>3600</v>
      </c>
      <c r="U79" s="3"/>
      <c r="V79" s="7">
        <f t="shared" si="25"/>
        <v>1.1519351230138719E-3</v>
      </c>
      <c r="W79" s="3"/>
      <c r="X79" s="8">
        <f t="shared" si="26"/>
        <v>-2408.2399999999998</v>
      </c>
      <c r="Y79" s="3"/>
      <c r="Z79" s="7">
        <f t="shared" si="27"/>
        <v>-0.66895555555555553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8">
        <v>6.49</v>
      </c>
      <c r="E80" s="3"/>
      <c r="F80" s="7">
        <f t="shared" si="20"/>
        <v>4.5094769541755845E-5</v>
      </c>
      <c r="G80" s="3"/>
      <c r="H80" s="8">
        <v>1200</v>
      </c>
      <c r="I80" s="3"/>
      <c r="J80" s="7">
        <f t="shared" si="21"/>
        <v>8.8002346729246107E-3</v>
      </c>
      <c r="K80" s="3"/>
      <c r="L80" s="8">
        <f t="shared" si="22"/>
        <v>-1193.51</v>
      </c>
      <c r="M80" s="3"/>
      <c r="N80" s="7">
        <f t="shared" si="23"/>
        <v>-0.99459166666666665</v>
      </c>
      <c r="O80" s="12"/>
      <c r="P80" s="8">
        <v>6.49</v>
      </c>
      <c r="Q80" s="3"/>
      <c r="R80" s="7">
        <f t="shared" si="24"/>
        <v>3.8347046144465963E-6</v>
      </c>
      <c r="S80" s="3"/>
      <c r="T80" s="8">
        <v>3700</v>
      </c>
      <c r="U80" s="3"/>
      <c r="V80" s="7">
        <f t="shared" si="25"/>
        <v>1.1839333208753682E-3</v>
      </c>
      <c r="W80" s="3"/>
      <c r="X80" s="8">
        <f t="shared" si="26"/>
        <v>-3693.51</v>
      </c>
      <c r="Y80" s="3"/>
      <c r="Z80" s="7">
        <f t="shared" si="27"/>
        <v>-0.99824594594594596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386.05</v>
      </c>
      <c r="E81" s="2"/>
      <c r="F81" s="6">
        <f t="shared" si="20"/>
        <v>2.6824092113397293E-3</v>
      </c>
      <c r="G81" s="2"/>
      <c r="H81" s="2">
        <f>SUM(OSRRefH22_12x_0)</f>
        <v>350</v>
      </c>
      <c r="I81" s="2"/>
      <c r="J81" s="6">
        <f t="shared" si="21"/>
        <v>2.5667351129363448E-3</v>
      </c>
      <c r="K81" s="2"/>
      <c r="L81" s="2">
        <f t="shared" si="22"/>
        <v>36.050000000000011</v>
      </c>
      <c r="M81" s="2"/>
      <c r="N81" s="6">
        <f t="shared" si="23"/>
        <v>0.10300000000000004</v>
      </c>
      <c r="O81" s="14"/>
      <c r="P81" s="2">
        <f>SUM(OSRRefP22_12x_0)</f>
        <v>4476.55</v>
      </c>
      <c r="Q81" s="2"/>
      <c r="R81" s="6">
        <f t="shared" si="24"/>
        <v>2.6450303454238697E-3</v>
      </c>
      <c r="S81" s="2"/>
      <c r="T81" s="2">
        <f>SUM(OSRRefT22_12x_0)</f>
        <v>3400</v>
      </c>
      <c r="U81" s="2"/>
      <c r="V81" s="6">
        <f t="shared" si="25"/>
        <v>1.0879387272908789E-3</v>
      </c>
      <c r="W81" s="2"/>
      <c r="X81" s="2">
        <f t="shared" si="26"/>
        <v>1076.5500000000002</v>
      </c>
      <c r="Y81" s="2"/>
      <c r="Z81" s="6">
        <f t="shared" si="27"/>
        <v>0.31663235294117653</v>
      </c>
    </row>
    <row r="82" spans="1:26" s="70" customFormat="1" ht="15" hidden="1" customHeight="1" outlineLevel="2" x14ac:dyDescent="0.3">
      <c r="A82" s="26"/>
      <c r="B82" s="12" t="str">
        <f>CONCATENATE("          ","6303"," - ","DATA PHONE LINES")</f>
        <v xml:space="preserve">          6303 - DATA PHONE LINES</v>
      </c>
      <c r="C82" s="12"/>
      <c r="D82" s="8"/>
      <c r="E82" s="3"/>
      <c r="F82" s="7">
        <f t="shared" si="20"/>
        <v>0</v>
      </c>
      <c r="G82" s="3"/>
      <c r="H82" s="8">
        <v>0</v>
      </c>
      <c r="I82" s="3"/>
      <c r="J82" s="7">
        <f t="shared" si="21"/>
        <v>0</v>
      </c>
      <c r="K82" s="3"/>
      <c r="L82" s="8">
        <f t="shared" si="22"/>
        <v>0</v>
      </c>
      <c r="M82" s="3"/>
      <c r="N82" s="7">
        <f t="shared" si="23"/>
        <v>0</v>
      </c>
      <c r="O82" s="12"/>
      <c r="P82" s="8">
        <v>295</v>
      </c>
      <c r="Q82" s="3"/>
      <c r="R82" s="7">
        <f t="shared" si="24"/>
        <v>1.7430475520211804E-4</v>
      </c>
      <c r="S82" s="3"/>
      <c r="T82" s="8">
        <v>0</v>
      </c>
      <c r="U82" s="3"/>
      <c r="V82" s="7">
        <f t="shared" si="25"/>
        <v>0</v>
      </c>
      <c r="W82" s="3"/>
      <c r="X82" s="8">
        <f t="shared" si="26"/>
        <v>295</v>
      </c>
      <c r="Y82" s="3"/>
      <c r="Z82" s="7">
        <f t="shared" si="27"/>
        <v>0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8">
        <v>386.05</v>
      </c>
      <c r="E83" s="3"/>
      <c r="F83" s="7">
        <f t="shared" si="20"/>
        <v>2.6824092113397293E-3</v>
      </c>
      <c r="G83" s="3"/>
      <c r="H83" s="8">
        <v>350</v>
      </c>
      <c r="I83" s="3"/>
      <c r="J83" s="7">
        <f t="shared" si="21"/>
        <v>2.5667351129363448E-3</v>
      </c>
      <c r="K83" s="3"/>
      <c r="L83" s="8">
        <f t="shared" si="22"/>
        <v>36.050000000000011</v>
      </c>
      <c r="M83" s="3"/>
      <c r="N83" s="7">
        <f t="shared" si="23"/>
        <v>0.10300000000000004</v>
      </c>
      <c r="O83" s="12"/>
      <c r="P83" s="8">
        <v>4181.55</v>
      </c>
      <c r="Q83" s="3"/>
      <c r="R83" s="7">
        <f t="shared" si="24"/>
        <v>2.4707255902217513E-3</v>
      </c>
      <c r="S83" s="3"/>
      <c r="T83" s="8">
        <v>3400</v>
      </c>
      <c r="U83" s="3"/>
      <c r="V83" s="7">
        <f t="shared" si="25"/>
        <v>1.0879387272908789E-3</v>
      </c>
      <c r="W83" s="3"/>
      <c r="X83" s="8">
        <f t="shared" si="26"/>
        <v>781.55000000000018</v>
      </c>
      <c r="Y83" s="3"/>
      <c r="Z83" s="7">
        <f t="shared" si="27"/>
        <v>0.22986764705882359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0</v>
      </c>
      <c r="E84" s="2"/>
      <c r="F84" s="6">
        <f t="shared" si="20"/>
        <v>0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SUM(OSRRefP22_13x_0)</f>
        <v>0</v>
      </c>
      <c r="Q84" s="2"/>
      <c r="R84" s="6">
        <f t="shared" si="24"/>
        <v>0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8"/>
      <c r="E85" s="3"/>
      <c r="F85" s="7">
        <f t="shared" si="20"/>
        <v>0</v>
      </c>
      <c r="G85" s="3"/>
      <c r="H85" s="8">
        <v>0</v>
      </c>
      <c r="I85" s="3"/>
      <c r="J85" s="7">
        <f t="shared" si="21"/>
        <v>0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/>
      <c r="Q85" s="3"/>
      <c r="R85" s="7">
        <f t="shared" si="24"/>
        <v>0</v>
      </c>
      <c r="S85" s="3"/>
      <c r="T85" s="8">
        <v>0</v>
      </c>
      <c r="U85" s="3"/>
      <c r="V85" s="7">
        <f t="shared" si="25"/>
        <v>0</v>
      </c>
      <c r="W85" s="3"/>
      <c r="X85" s="8">
        <f t="shared" si="26"/>
        <v>0</v>
      </c>
      <c r="Y85" s="3"/>
      <c r="Z85" s="7">
        <f t="shared" si="27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7" t="s">
        <v>291</v>
      </c>
      <c r="C87" s="11"/>
      <c r="D87" s="5">
        <f>SUM(OSRRefD25x_0)</f>
        <v>155658.63</v>
      </c>
      <c r="E87" s="5"/>
      <c r="F87" s="13">
        <f>IF(D$12=0,0,D87/D$12)</f>
        <v>1.0815701151056152</v>
      </c>
      <c r="G87" s="5"/>
      <c r="H87" s="5">
        <f>SUM(OSRRefH25x_0)</f>
        <v>166302.39999999999</v>
      </c>
      <c r="I87" s="5"/>
      <c r="J87" s="13">
        <f>IF(H$12=0,0,H87/H$12)</f>
        <v>1.2195834555588148</v>
      </c>
      <c r="K87" s="5"/>
      <c r="L87" s="5">
        <f>+D87-H87</f>
        <v>-10643.76999999999</v>
      </c>
      <c r="M87" s="5"/>
      <c r="N87" s="13">
        <f>IF(H87=0,0,L87/H87)</f>
        <v>-6.400250387246359E-2</v>
      </c>
      <c r="O87" s="11"/>
      <c r="P87" s="5">
        <f>SUM(OSRRefP25x_0)</f>
        <v>349887.55000000005</v>
      </c>
      <c r="Q87" s="5"/>
      <c r="R87" s="13">
        <f>IF(P$12=0,0,P87/P$12)</f>
        <v>0.2067358093254876</v>
      </c>
      <c r="S87" s="5"/>
      <c r="T87" s="5">
        <f>SUM(OSRRefT25x_0)</f>
        <v>359642.23</v>
      </c>
      <c r="U87" s="5"/>
      <c r="V87" s="13">
        <f>IF(T$12=0,0,T87/T$12)</f>
        <v>0.1150790323488981</v>
      </c>
      <c r="W87" s="5"/>
      <c r="X87" s="5">
        <f>+P87-T87</f>
        <v>-9754.6799999999348</v>
      </c>
      <c r="Y87" s="5"/>
      <c r="Z87" s="13">
        <f>IF(T87=0,0,X87/T87)</f>
        <v>-2.7123288608236956E-2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--2944.95</f>
        <v>2944.95</v>
      </c>
      <c r="E88" s="3"/>
      <c r="F88" s="20">
        <f>IF(D$12=0,0,D88/D$12)</f>
        <v>2.0462533368566082E-2</v>
      </c>
      <c r="G88" s="3"/>
      <c r="H88" s="3">
        <v>2486</v>
      </c>
      <c r="I88" s="3"/>
      <c r="J88" s="20">
        <f>IF(H$12=0,0,H88/H$12)</f>
        <v>1.8231152830742153E-2</v>
      </c>
      <c r="K88" s="3"/>
      <c r="L88" s="3">
        <f>+D88-H88</f>
        <v>458.94999999999982</v>
      </c>
      <c r="M88" s="3"/>
      <c r="N88" s="20">
        <f>IF(H88=0,0,L88/H88)</f>
        <v>0.18461383748994362</v>
      </c>
      <c r="O88" s="12"/>
      <c r="P88" s="3">
        <f>--22258.22</f>
        <v>22258.22</v>
      </c>
      <c r="Q88" s="3"/>
      <c r="R88" s="20">
        <f>IF(P$12=0,0,P88/P$12)</f>
        <v>1.3151571485880975E-2</v>
      </c>
      <c r="S88" s="3"/>
      <c r="T88" s="3">
        <v>31780</v>
      </c>
      <c r="U88" s="3"/>
      <c r="V88" s="20">
        <f>IF(T$12=0,0,T88/T$12)</f>
        <v>1.0169027280383569E-2</v>
      </c>
      <c r="W88" s="3"/>
      <c r="X88" s="3">
        <f>+P88-T88</f>
        <v>-9521.7799999999988</v>
      </c>
      <c r="Y88" s="3"/>
      <c r="Z88" s="20">
        <f>IF(T88=0,0,X88/T88)</f>
        <v>-0.29961548143486466</v>
      </c>
    </row>
    <row r="89" spans="1:26" s="70" customFormat="1" ht="15" hidden="1" customHeight="1" outlineLevel="1" x14ac:dyDescent="0.3">
      <c r="A89" s="42"/>
      <c r="B89" s="12" t="str">
        <f>CONCATENATE("          ","9151"," - ","MISC. INCOME")</f>
        <v xml:space="preserve">          9151 - MISC. INCOME</v>
      </c>
      <c r="C89" s="12"/>
      <c r="D89" s="3">
        <f>--152339.59</f>
        <v>152339.59</v>
      </c>
      <c r="E89" s="3"/>
      <c r="F89" s="20">
        <f>IF(D$12=0,0,D89/D$12)</f>
        <v>1.058508274751244</v>
      </c>
      <c r="G89" s="3"/>
      <c r="H89" s="3">
        <v>163816.4</v>
      </c>
      <c r="I89" s="3"/>
      <c r="J89" s="20">
        <f>IF(H$12=0,0,H89/H$12)</f>
        <v>1.2013523027280728</v>
      </c>
      <c r="K89" s="3"/>
      <c r="L89" s="3">
        <f>+D89-H89</f>
        <v>-11476.809999999998</v>
      </c>
      <c r="M89" s="3"/>
      <c r="N89" s="20">
        <f>IF(H89=0,0,L89/H89)</f>
        <v>-7.0058980663718642E-2</v>
      </c>
      <c r="O89" s="12"/>
      <c r="P89" s="3">
        <f>--323761.7</f>
        <v>323761.7</v>
      </c>
      <c r="Q89" s="3"/>
      <c r="R89" s="20">
        <f>IF(P$12=0,0,P89/P$12)</f>
        <v>0.19129899614346299</v>
      </c>
      <c r="S89" s="3"/>
      <c r="T89" s="3">
        <v>327862.23</v>
      </c>
      <c r="U89" s="3"/>
      <c r="V89" s="20">
        <f>IF(T$12=0,0,T89/T$12)</f>
        <v>0.10491000506851454</v>
      </c>
      <c r="W89" s="3"/>
      <c r="X89" s="3">
        <f>+P89-T89</f>
        <v>-4100.5299999999697</v>
      </c>
      <c r="Y89" s="3"/>
      <c r="Z89" s="20">
        <f>IF(T89=0,0,X89/T89)</f>
        <v>-1.2506869119995828E-2</v>
      </c>
    </row>
    <row r="90" spans="1:26" s="70" customFormat="1" ht="15" hidden="1" customHeight="1" outlineLevel="1" x14ac:dyDescent="0.3">
      <c r="A90" s="42"/>
      <c r="B90" s="12" t="str">
        <f>CONCATENATE("          ","9152"," - ","MISC. INCOME")</f>
        <v xml:space="preserve">          9152 - MISC. INCOME</v>
      </c>
      <c r="C90" s="12"/>
      <c r="D90" s="3">
        <f>--374.09</f>
        <v>374.09</v>
      </c>
      <c r="E90" s="3"/>
      <c r="F90" s="20">
        <f>IF(D$12=0,0,D90/D$12)</f>
        <v>2.5993069858051528E-3</v>
      </c>
      <c r="G90" s="3"/>
      <c r="H90" s="3"/>
      <c r="I90" s="3"/>
      <c r="J90" s="20">
        <f>IF(H$12=0,0,H90/H$12)</f>
        <v>0</v>
      </c>
      <c r="K90" s="3"/>
      <c r="L90" s="3">
        <f>+D90-H90</f>
        <v>374.09</v>
      </c>
      <c r="M90" s="3"/>
      <c r="N90" s="20">
        <f>IF(H90=0,0,L90/H90)</f>
        <v>0</v>
      </c>
      <c r="O90" s="12"/>
      <c r="P90" s="3">
        <f>--3867.63</f>
        <v>3867.63</v>
      </c>
      <c r="Q90" s="3"/>
      <c r="R90" s="20">
        <f>IF(P$12=0,0,P90/P$12)</f>
        <v>2.2852416961436197E-3</v>
      </c>
      <c r="S90" s="3"/>
      <c r="T90" s="3"/>
      <c r="U90" s="3"/>
      <c r="V90" s="20">
        <f>IF(T$12=0,0,T90/T$12)</f>
        <v>0</v>
      </c>
      <c r="W90" s="3"/>
      <c r="X90" s="3">
        <f>+P90-T90</f>
        <v>3867.63</v>
      </c>
      <c r="Y90" s="3"/>
      <c r="Z90" s="20">
        <f>IF(T90=0,0,X90/T90)</f>
        <v>0</v>
      </c>
    </row>
    <row r="91" spans="1:26" s="70" customFormat="1" ht="15" hidden="1" customHeight="1" outlineLevel="1" x14ac:dyDescent="0.3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8" t="s">
        <v>292</v>
      </c>
      <c r="C93" s="28"/>
      <c r="D93" s="21">
        <f>+D31-D33+D87</f>
        <v>173425.8</v>
      </c>
      <c r="E93" s="15"/>
      <c r="F93" s="22">
        <f>IF(D$12=0,0,D93/D$12)</f>
        <v>1.2050225706617319</v>
      </c>
      <c r="G93" s="15"/>
      <c r="H93" s="21">
        <f>+H31-H33+H87</f>
        <v>157122.30461101027</v>
      </c>
      <c r="I93" s="15"/>
      <c r="J93" s="22">
        <f>IF(H$12=0,0,H93/H$12)</f>
        <v>1.1522609607730292</v>
      </c>
      <c r="K93" s="16"/>
      <c r="L93" s="21">
        <f>+D93-H93</f>
        <v>16303.495388989715</v>
      </c>
      <c r="M93" s="16"/>
      <c r="N93" s="22">
        <f>IF(H93=0,0,L93/H93)</f>
        <v>0.1037630871654568</v>
      </c>
      <c r="O93" s="27"/>
      <c r="P93" s="21">
        <f>+P31-P33+P87</f>
        <v>366022.91000000009</v>
      </c>
      <c r="Q93" s="15"/>
      <c r="R93" s="22">
        <f>IF(P$12=0,0,P93/P$12)</f>
        <v>0.21626960585056573</v>
      </c>
      <c r="S93" s="15"/>
      <c r="T93" s="21">
        <f>+T31-T33+T87</f>
        <v>776506.16214133974</v>
      </c>
      <c r="U93" s="15"/>
      <c r="V93" s="22">
        <f>IF(T$12=0,0,T93/T$12)</f>
        <v>0.24846797816869826</v>
      </c>
      <c r="W93" s="16"/>
      <c r="X93" s="21">
        <f>+P93-T93</f>
        <v>-410483.25214133965</v>
      </c>
      <c r="Y93" s="16"/>
      <c r="Z93" s="22">
        <f>IF(T93=0,0,X93/T93)</f>
        <v>-0.52862845416366888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6281.29</v>
      </c>
      <c r="E95" s="5"/>
      <c r="F95" s="13">
        <f>IF(D$12=0,0,D95/D$12)</f>
        <v>4.3644580119404558E-2</v>
      </c>
      <c r="G95" s="5"/>
      <c r="H95" s="5">
        <v>7557</v>
      </c>
      <c r="I95" s="5"/>
      <c r="J95" s="13">
        <f>IF(H$12=0,0,H95/H$12)</f>
        <v>5.5419477852742739E-2</v>
      </c>
      <c r="K95" s="5"/>
      <c r="L95" s="5">
        <f>+D95-H95</f>
        <v>-1275.71</v>
      </c>
      <c r="M95" s="5"/>
      <c r="N95" s="13">
        <f>IF(H95=0,0,L95/H95)</f>
        <v>-0.16881169776366284</v>
      </c>
      <c r="O95" s="11"/>
      <c r="P95" s="5">
        <v>211254.69</v>
      </c>
      <c r="Q95" s="5"/>
      <c r="R95" s="13">
        <f>IF(P$12=0,0,P95/P$12)</f>
        <v>0.12482270178220113</v>
      </c>
      <c r="S95" s="5"/>
      <c r="T95" s="5">
        <v>382045</v>
      </c>
      <c r="U95" s="5"/>
      <c r="V95" s="13">
        <f>IF(T$12=0,0,T95/T$12)</f>
        <v>0.12224751501995408</v>
      </c>
      <c r="W95" s="5"/>
      <c r="X95" s="5">
        <f>+P95-T95</f>
        <v>-170790.31</v>
      </c>
      <c r="Y95" s="5"/>
      <c r="Z95" s="13">
        <f>IF(T95=0,0,X95/T95)</f>
        <v>-0.44704239029433707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8" t="s">
        <v>294</v>
      </c>
      <c r="C97" s="28"/>
      <c r="D97" s="33">
        <f>+D93-D95</f>
        <v>167144.50999999998</v>
      </c>
      <c r="E97" s="15"/>
      <c r="F97" s="32">
        <f>IF(D$12=0,0,D97/D$12)</f>
        <v>1.1613779905423274</v>
      </c>
      <c r="G97" s="15"/>
      <c r="H97" s="33">
        <f>+H93-H95</f>
        <v>149565.30461101027</v>
      </c>
      <c r="I97" s="15"/>
      <c r="J97" s="32">
        <f>IF(H$12=0,0,H97/H$12)</f>
        <v>1.0968414829202866</v>
      </c>
      <c r="K97" s="16"/>
      <c r="L97" s="33">
        <f>D97-H97</f>
        <v>17579.205388989707</v>
      </c>
      <c r="M97" s="16"/>
      <c r="N97" s="32">
        <f>IF(H97=0,0,L97/H97)</f>
        <v>0.11753531632693651</v>
      </c>
      <c r="O97" s="27"/>
      <c r="P97" s="33">
        <f>+P93-P95</f>
        <v>154768.22000000009</v>
      </c>
      <c r="Q97" s="15"/>
      <c r="R97" s="32">
        <f>IF(P$12=0,0,P97/P$12)</f>
        <v>9.1446904068364615E-2</v>
      </c>
      <c r="S97" s="15"/>
      <c r="T97" s="33">
        <f>+T93-T95</f>
        <v>394461.16214133974</v>
      </c>
      <c r="U97" s="15"/>
      <c r="V97" s="32">
        <f>IF(T$12=0,0,T97/T$12)</f>
        <v>0.12622046314874419</v>
      </c>
      <c r="W97" s="16"/>
      <c r="X97" s="33">
        <f>P97-T97</f>
        <v>-239692.94214133965</v>
      </c>
      <c r="Y97" s="16"/>
      <c r="Z97" s="32">
        <f>IF(T97=0,0,X97/T97)</f>
        <v>-0.60764649386561165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8" t="s">
        <v>297</v>
      </c>
      <c r="C100" s="28"/>
      <c r="D100" s="34">
        <f>SUM(D97:D99)</f>
        <v>167144.50999999998</v>
      </c>
      <c r="E100" s="15"/>
      <c r="F100" s="30">
        <f>IF(D$12=0,0,D100/D$12)</f>
        <v>1.1613779905423274</v>
      </c>
      <c r="G100" s="15"/>
      <c r="H100" s="34">
        <f>SUM(H97:H99)</f>
        <v>149565.30461101027</v>
      </c>
      <c r="I100" s="15"/>
      <c r="J100" s="30">
        <f>IF(H$12=0,0,H100/H$12)</f>
        <v>1.0968414829202866</v>
      </c>
      <c r="K100" s="16"/>
      <c r="L100" s="34">
        <f>+D100-H100</f>
        <v>17579.205388989707</v>
      </c>
      <c r="M100" s="16"/>
      <c r="N100" s="30">
        <f>IF(H100=0,0,L100/H100)</f>
        <v>0.11753531632693651</v>
      </c>
      <c r="O100" s="27"/>
      <c r="P100" s="34">
        <f>SUM(P97:P99)</f>
        <v>154768.22000000009</v>
      </c>
      <c r="Q100" s="15"/>
      <c r="R100" s="30">
        <f>IF(P$12=0,0,P100/P$12)</f>
        <v>9.1446904068364615E-2</v>
      </c>
      <c r="S100" s="15"/>
      <c r="T100" s="34">
        <f>SUM(T97:T99)</f>
        <v>394461.16214133974</v>
      </c>
      <c r="U100" s="15"/>
      <c r="V100" s="30">
        <f>IF(T$12=0,0,T100/T$12)</f>
        <v>0.12622046314874419</v>
      </c>
      <c r="W100" s="16"/>
      <c r="X100" s="34">
        <f>+P100-T100</f>
        <v>-239692.94214133965</v>
      </c>
      <c r="Y100" s="16"/>
      <c r="Z100" s="30">
        <f>IF(T100=0,0,X100/T100)</f>
        <v>-0.60764649386561165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0"/>
      <c r="B102" s="57">
        <v>44634.883430555557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0"/>
      <c r="B103" s="56" t="s">
        <v>298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0"/>
      <c r="B104" s="54"/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D4C4E-0C29-D0D8-1C59-B3E9256B56B6}">
  <sheetPr>
    <tabColor rgb="FF92D050"/>
    <outlinePr summaryBelow="0" summaryRight="0"/>
  </sheetPr>
  <dimension ref="A2:Z3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","324"," - ","Textbook Rental")</f>
        <v>Department 324 - Textbook Rental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34592.76</v>
      </c>
      <c r="E12" s="5"/>
      <c r="F12" s="13"/>
      <c r="G12" s="5"/>
      <c r="H12" s="5">
        <f>SUM(OSRRefH13x_0)</f>
        <v>60222</v>
      </c>
      <c r="I12" s="5"/>
      <c r="J12" s="13"/>
      <c r="K12" s="5"/>
      <c r="L12" s="5">
        <f>+D12-H12</f>
        <v>-25629.239999999998</v>
      </c>
      <c r="M12" s="5"/>
      <c r="N12" s="13">
        <f>IF(H12=0,0,L12/H12)</f>
        <v>-0.42557935638138883</v>
      </c>
      <c r="O12" s="11"/>
      <c r="P12" s="5">
        <f>SUM(OSRRefP13x_0)</f>
        <v>436031.78</v>
      </c>
      <c r="Q12" s="5"/>
      <c r="R12" s="13"/>
      <c r="S12" s="5"/>
      <c r="T12" s="5">
        <f>SUM(OSRRefT13x_0)</f>
        <v>1530315</v>
      </c>
      <c r="U12" s="5"/>
      <c r="V12" s="13"/>
      <c r="W12" s="5"/>
      <c r="X12" s="5">
        <f>+P12-T12</f>
        <v>-1094283.22</v>
      </c>
      <c r="Y12" s="5"/>
      <c r="Z12" s="13">
        <f>IF(T12=0,0,X12/T12)</f>
        <v>-0.7150705704381124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--20216.59</f>
        <v>20216.59</v>
      </c>
      <c r="E13" s="3"/>
      <c r="F13" s="20"/>
      <c r="G13" s="3"/>
      <c r="H13" s="3">
        <v>60222</v>
      </c>
      <c r="I13" s="3"/>
      <c r="J13" s="20"/>
      <c r="K13" s="3"/>
      <c r="L13" s="3">
        <f>+D13-H13</f>
        <v>-40005.410000000003</v>
      </c>
      <c r="M13" s="3"/>
      <c r="N13" s="20">
        <f>IF(H13=0,0,L13/H13)</f>
        <v>-0.66429892730231488</v>
      </c>
      <c r="O13" s="12"/>
      <c r="P13" s="3">
        <f>--269477.87</f>
        <v>269477.87</v>
      </c>
      <c r="Q13" s="3"/>
      <c r="R13" s="20"/>
      <c r="S13" s="3"/>
      <c r="T13" s="3">
        <v>1530315</v>
      </c>
      <c r="U13" s="3"/>
      <c r="V13" s="20"/>
      <c r="W13" s="3"/>
      <c r="X13" s="3">
        <f>+P13-T13</f>
        <v>-1260837.1299999999</v>
      </c>
      <c r="Y13" s="3"/>
      <c r="Z13" s="20">
        <f>IF(T13=0,0,X13/T13)</f>
        <v>-0.82390692765868456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--14376.17</f>
        <v>14376.17</v>
      </c>
      <c r="E14" s="3"/>
      <c r="F14" s="20"/>
      <c r="G14" s="3"/>
      <c r="H14" s="3"/>
      <c r="I14" s="3"/>
      <c r="J14" s="20"/>
      <c r="K14" s="3"/>
      <c r="L14" s="3">
        <f>+D14-H14</f>
        <v>14376.17</v>
      </c>
      <c r="M14" s="3"/>
      <c r="N14" s="20">
        <f>IF(H14=0,0,L14/H14)</f>
        <v>0</v>
      </c>
      <c r="O14" s="12"/>
      <c r="P14" s="3">
        <f>--166553.91</f>
        <v>166553.91</v>
      </c>
      <c r="Q14" s="3"/>
      <c r="R14" s="20"/>
      <c r="S14" s="3"/>
      <c r="T14" s="3"/>
      <c r="U14" s="3"/>
      <c r="V14" s="20"/>
      <c r="W14" s="3"/>
      <c r="X14" s="3">
        <f>+P14-T14</f>
        <v>166553.91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7" t="s">
        <v>288</v>
      </c>
      <c r="C16" s="11"/>
      <c r="D16" s="5">
        <f>SUM(OSRRefD16x_0)</f>
        <v>34654.07</v>
      </c>
      <c r="E16" s="5"/>
      <c r="F16" s="13">
        <f>IF(D$12=0,0,D16/D$12)</f>
        <v>1.0017723361767028</v>
      </c>
      <c r="G16" s="5"/>
      <c r="H16" s="5">
        <f>SUM(OSRRefH16x_0)</f>
        <v>43661</v>
      </c>
      <c r="I16" s="5"/>
      <c r="J16" s="13">
        <f>IF(H$12=0,0,H16/H$12)</f>
        <v>0.7250008302613663</v>
      </c>
      <c r="K16" s="5"/>
      <c r="L16" s="5">
        <f>+D16-H16</f>
        <v>-9006.93</v>
      </c>
      <c r="M16" s="5"/>
      <c r="N16" s="13">
        <f>IF(H16=0,0,L16/H16)</f>
        <v>-0.20629234328118917</v>
      </c>
      <c r="O16" s="11"/>
      <c r="P16" s="5">
        <f>SUM(OSRRefP16x_0)</f>
        <v>323105.84999999998</v>
      </c>
      <c r="Q16" s="5"/>
      <c r="R16" s="13">
        <f>IF(P$12=0,0,P16/P$12)</f>
        <v>0.74101445082741435</v>
      </c>
      <c r="S16" s="5"/>
      <c r="T16" s="5">
        <f>SUM(OSRRefT16x_0)</f>
        <v>1109479</v>
      </c>
      <c r="U16" s="5"/>
      <c r="V16" s="13">
        <f>IF(T$12=0,0,T16/T$12)</f>
        <v>0.72500040841264712</v>
      </c>
      <c r="W16" s="5"/>
      <c r="X16" s="5">
        <f>+P16-T16</f>
        <v>-786373.15</v>
      </c>
      <c r="Y16" s="5"/>
      <c r="Z16" s="13">
        <f>IF(T16=0,0,X16/T16)</f>
        <v>-0.70877695747283187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>
        <v>34654.07</v>
      </c>
      <c r="E17" s="3"/>
      <c r="F17" s="20">
        <f>IF(D$12=0,0,D17/D$12)</f>
        <v>1.0017723361767028</v>
      </c>
      <c r="G17" s="3"/>
      <c r="H17" s="3">
        <v>43661</v>
      </c>
      <c r="I17" s="3"/>
      <c r="J17" s="20">
        <f>IF(H$12=0,0,H17/H$12)</f>
        <v>0.7250008302613663</v>
      </c>
      <c r="K17" s="3"/>
      <c r="L17" s="3">
        <f>+D17-H17</f>
        <v>-9006.93</v>
      </c>
      <c r="M17" s="3"/>
      <c r="N17" s="20">
        <f>IF(H17=0,0,L17/H17)</f>
        <v>-0.20629234328118917</v>
      </c>
      <c r="O17" s="12"/>
      <c r="P17" s="3">
        <v>323105.84999999998</v>
      </c>
      <c r="Q17" s="3"/>
      <c r="R17" s="20">
        <f>IF(P$12=0,0,P17/P$12)</f>
        <v>0.74101445082741435</v>
      </c>
      <c r="S17" s="3"/>
      <c r="T17" s="3">
        <v>1109479</v>
      </c>
      <c r="U17" s="3"/>
      <c r="V17" s="20">
        <f>IF(T$12=0,0,T17/T$12)</f>
        <v>0.72500040841264712</v>
      </c>
      <c r="W17" s="3"/>
      <c r="X17" s="3">
        <f>+P17-T17</f>
        <v>-786373.15</v>
      </c>
      <c r="Y17" s="3"/>
      <c r="Z17" s="20">
        <f>IF(T17=0,0,X17/T17)</f>
        <v>-0.70877695747283187</v>
      </c>
    </row>
    <row r="18" spans="1:26" ht="15" customHeight="1" x14ac:dyDescent="0.3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x14ac:dyDescent="0.3">
      <c r="A19" s="11"/>
      <c r="B19" s="28" t="s">
        <v>289</v>
      </c>
      <c r="C19" s="28"/>
      <c r="D19" s="21">
        <f>D12-D16</f>
        <v>-61.309999999997672</v>
      </c>
      <c r="E19" s="15"/>
      <c r="F19" s="22">
        <f>IF(D$12=0,0,D19/D$12)</f>
        <v>-1.7723361767028034E-3</v>
      </c>
      <c r="G19" s="15"/>
      <c r="H19" s="21">
        <f>H12-H16</f>
        <v>16561</v>
      </c>
      <c r="I19" s="15"/>
      <c r="J19" s="22">
        <f>IF(H$12=0,0,H19/H$12)</f>
        <v>0.2749991697386337</v>
      </c>
      <c r="K19" s="16"/>
      <c r="L19" s="21">
        <f>+D19-H19</f>
        <v>-16622.309999999998</v>
      </c>
      <c r="M19" s="16"/>
      <c r="N19" s="22">
        <f>IF(H19=0,0,L19/H19)</f>
        <v>-1.0037020711309703</v>
      </c>
      <c r="O19" s="27"/>
      <c r="P19" s="21">
        <f>P12-P16</f>
        <v>112925.93000000005</v>
      </c>
      <c r="Q19" s="15"/>
      <c r="R19" s="22">
        <f>IF(P$12=0,0,P19/P$12)</f>
        <v>0.25898554917258565</v>
      </c>
      <c r="S19" s="15"/>
      <c r="T19" s="21">
        <f>T12-T16</f>
        <v>420836</v>
      </c>
      <c r="U19" s="15"/>
      <c r="V19" s="22">
        <f>IF(T$12=0,0,T19/T$12)</f>
        <v>0.27499959158735293</v>
      </c>
      <c r="W19" s="16"/>
      <c r="X19" s="21">
        <f>+P19-T19</f>
        <v>-307910.06999999995</v>
      </c>
      <c r="Y19" s="16"/>
      <c r="Z19" s="22">
        <f>IF(T19=0,0,X19/T19)</f>
        <v>-0.73166285678981824</v>
      </c>
    </row>
    <row r="20" spans="1:26" ht="15" customHeight="1" x14ac:dyDescent="0.3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5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3" customFormat="1" ht="15" customHeight="1" x14ac:dyDescent="0.3">
      <c r="A21" s="11"/>
      <c r="B21" s="27" t="s">
        <v>290</v>
      </c>
      <c r="C21" s="11"/>
      <c r="D21" s="23">
        <f>SUM(0)</f>
        <v>0</v>
      </c>
      <c r="E21" s="23"/>
      <c r="F21" s="29">
        <f>IF(D$12=0,0,D21/D$12)</f>
        <v>0</v>
      </c>
      <c r="G21" s="23"/>
      <c r="H21" s="23">
        <f>SUM(0)</f>
        <v>0</v>
      </c>
      <c r="I21" s="23"/>
      <c r="J21" s="29">
        <f>IF(H$12=0,0,H21/H$12)</f>
        <v>0</v>
      </c>
      <c r="K21" s="5"/>
      <c r="L21" s="23">
        <f>+D21-H21</f>
        <v>0</v>
      </c>
      <c r="M21" s="5"/>
      <c r="N21" s="29">
        <f>IF(H21=0,0,L21/H21)</f>
        <v>0</v>
      </c>
      <c r="O21" s="11"/>
      <c r="P21" s="23">
        <f>SUM(0)</f>
        <v>0</v>
      </c>
      <c r="Q21" s="23"/>
      <c r="R21" s="29">
        <f>IF(P$12=0,0,P21/P$12)</f>
        <v>0</v>
      </c>
      <c r="S21" s="23"/>
      <c r="T21" s="23">
        <f>SUM(0)</f>
        <v>0</v>
      </c>
      <c r="U21" s="23"/>
      <c r="V21" s="29">
        <f>IF(T$12=0,0,T21/T$12)</f>
        <v>0</v>
      </c>
      <c r="W21" s="5"/>
      <c r="X21" s="23">
        <f>+P21-T21</f>
        <v>0</v>
      </c>
      <c r="Y21" s="5"/>
      <c r="Z21" s="29">
        <f>IF(T21=0,0,X21/T21)</f>
        <v>0</v>
      </c>
    </row>
    <row r="22" spans="1:26" s="65" customFormat="1" ht="15" customHeight="1" x14ac:dyDescent="0.3">
      <c r="A22" s="35"/>
      <c r="B22" s="35"/>
      <c r="C22" s="35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3">
      <c r="A23" s="11"/>
      <c r="B23" s="27" t="s">
        <v>291</v>
      </c>
      <c r="C23" s="11"/>
      <c r="D23" s="5">
        <f>SUM(0)</f>
        <v>0</v>
      </c>
      <c r="E23" s="5"/>
      <c r="F23" s="13">
        <f>IF(D$12=0,0,D23/D$12)</f>
        <v>0</v>
      </c>
      <c r="G23" s="5"/>
      <c r="H23" s="5">
        <f>SUM(0)</f>
        <v>0</v>
      </c>
      <c r="I23" s="5"/>
      <c r="J23" s="13">
        <f>IF(H$12=0,0,H23/H$12)</f>
        <v>0</v>
      </c>
      <c r="K23" s="5"/>
      <c r="L23" s="5">
        <f>+D23-H23</f>
        <v>0</v>
      </c>
      <c r="M23" s="5"/>
      <c r="N23" s="13">
        <f>IF(H23=0,0,L23/H23)</f>
        <v>0</v>
      </c>
      <c r="O23" s="11"/>
      <c r="P23" s="5">
        <f>SUM(0)</f>
        <v>0</v>
      </c>
      <c r="Q23" s="5"/>
      <c r="R23" s="13">
        <f>IF(P$12=0,0,P23/P$12)</f>
        <v>0</v>
      </c>
      <c r="S23" s="5"/>
      <c r="T23" s="5">
        <f>SUM(0)</f>
        <v>0</v>
      </c>
      <c r="U23" s="5"/>
      <c r="V23" s="13">
        <f>IF(T$12=0,0,T23/T$12)</f>
        <v>0</v>
      </c>
      <c r="W23" s="5"/>
      <c r="X23" s="5">
        <f>+P23-T23</f>
        <v>0</v>
      </c>
      <c r="Y23" s="5"/>
      <c r="Z23" s="13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8" t="s">
        <v>292</v>
      </c>
      <c r="C25" s="28"/>
      <c r="D25" s="21">
        <f>+D19-D21+D23</f>
        <v>-61.309999999997672</v>
      </c>
      <c r="E25" s="15"/>
      <c r="F25" s="22">
        <f>IF(D$12=0,0,D25/D$12)</f>
        <v>-1.7723361767028034E-3</v>
      </c>
      <c r="G25" s="15"/>
      <c r="H25" s="21">
        <f>+H19-H21+H23</f>
        <v>16561</v>
      </c>
      <c r="I25" s="15"/>
      <c r="J25" s="22">
        <f>IF(H$12=0,0,H25/H$12)</f>
        <v>0.2749991697386337</v>
      </c>
      <c r="K25" s="16"/>
      <c r="L25" s="21">
        <f>+D25-H25</f>
        <v>-16622.309999999998</v>
      </c>
      <c r="M25" s="16"/>
      <c r="N25" s="22">
        <f>IF(H25=0,0,L25/H25)</f>
        <v>-1.0037020711309703</v>
      </c>
      <c r="O25" s="27"/>
      <c r="P25" s="21">
        <f>+P19-P21+P23</f>
        <v>112925.93000000005</v>
      </c>
      <c r="Q25" s="15"/>
      <c r="R25" s="22">
        <f>IF(P$12=0,0,P25/P$12)</f>
        <v>0.25898554917258565</v>
      </c>
      <c r="S25" s="15"/>
      <c r="T25" s="21">
        <f>+T19-T21+T23</f>
        <v>420836</v>
      </c>
      <c r="U25" s="15"/>
      <c r="V25" s="22">
        <f>IF(T$12=0,0,T25/T$12)</f>
        <v>0.27499959158735293</v>
      </c>
      <c r="W25" s="16"/>
      <c r="X25" s="21">
        <f>+P25-T25</f>
        <v>-307910.06999999995</v>
      </c>
      <c r="Y25" s="16"/>
      <c r="Z25" s="22">
        <f>IF(T25=0,0,X25/T25)</f>
        <v>-0.73166285678981824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49"/>
      <c r="B27" s="11" t="s">
        <v>293</v>
      </c>
      <c r="C27" s="11"/>
      <c r="D27" s="5">
        <v>1289.24</v>
      </c>
      <c r="E27" s="5"/>
      <c r="F27" s="13">
        <f>IF(D$12=0,0,D27/D$12)</f>
        <v>3.7269070175377735E-2</v>
      </c>
      <c r="G27" s="5"/>
      <c r="H27" s="5">
        <v>2880</v>
      </c>
      <c r="I27" s="5"/>
      <c r="J27" s="13">
        <f>IF(H$12=0,0,H27/H$12)</f>
        <v>4.7823054697618814E-2</v>
      </c>
      <c r="K27" s="5"/>
      <c r="L27" s="5">
        <f>+D27-H27</f>
        <v>-1590.76</v>
      </c>
      <c r="M27" s="5"/>
      <c r="N27" s="13">
        <f>IF(H27=0,0,L27/H27)</f>
        <v>-0.55234722222222221</v>
      </c>
      <c r="O27" s="11"/>
      <c r="P27" s="5">
        <v>54426.67</v>
      </c>
      <c r="Q27" s="5"/>
      <c r="R27" s="13">
        <f>IF(P$12=0,0,P27/P$12)</f>
        <v>0.12482271361046206</v>
      </c>
      <c r="S27" s="5"/>
      <c r="T27" s="5">
        <v>187077</v>
      </c>
      <c r="U27" s="5"/>
      <c r="V27" s="13">
        <f>IF(T$12=0,0,T27/T$12)</f>
        <v>0.12224738044128169</v>
      </c>
      <c r="W27" s="5"/>
      <c r="X27" s="5">
        <f>+P27-T27</f>
        <v>-132650.33000000002</v>
      </c>
      <c r="Y27" s="5"/>
      <c r="Z27" s="13">
        <f>IF(T27=0,0,X27/T27)</f>
        <v>-0.70906808426476808</v>
      </c>
    </row>
    <row r="28" spans="1:26" ht="15" customHeight="1" x14ac:dyDescent="0.3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11"/>
      <c r="B29" s="28" t="s">
        <v>294</v>
      </c>
      <c r="C29" s="28"/>
      <c r="D29" s="33">
        <f>+D25-D27</f>
        <v>-1350.5499999999977</v>
      </c>
      <c r="E29" s="15"/>
      <c r="F29" s="32">
        <f>IF(D$12=0,0,D29/D$12)</f>
        <v>-3.9041406352080539E-2</v>
      </c>
      <c r="G29" s="15"/>
      <c r="H29" s="33">
        <f>+H25-H27</f>
        <v>13681</v>
      </c>
      <c r="I29" s="15"/>
      <c r="J29" s="32">
        <f>IF(H$12=0,0,H29/H$12)</f>
        <v>0.2271761150410149</v>
      </c>
      <c r="K29" s="16"/>
      <c r="L29" s="33">
        <f>D29-H29</f>
        <v>-15031.549999999997</v>
      </c>
      <c r="M29" s="16"/>
      <c r="N29" s="32">
        <f>IF(H29=0,0,L29/H29)</f>
        <v>-1.0987171990351581</v>
      </c>
      <c r="O29" s="27"/>
      <c r="P29" s="33">
        <f>+P25-P27</f>
        <v>58499.260000000053</v>
      </c>
      <c r="Q29" s="15"/>
      <c r="R29" s="32">
        <f>IF(P$12=0,0,P29/P$12)</f>
        <v>0.13416283556212358</v>
      </c>
      <c r="S29" s="15"/>
      <c r="T29" s="33">
        <f>+T25-T27</f>
        <v>233759</v>
      </c>
      <c r="U29" s="15"/>
      <c r="V29" s="32">
        <f>IF(T$12=0,0,T29/T$12)</f>
        <v>0.15275221114607124</v>
      </c>
      <c r="W29" s="16"/>
      <c r="X29" s="33">
        <f>P29-T29</f>
        <v>-175259.73999999993</v>
      </c>
      <c r="Y29" s="16"/>
      <c r="Z29" s="32">
        <f>IF(T29=0,0,X29/T29)</f>
        <v>-0.74974542156665602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8" t="s">
        <v>297</v>
      </c>
      <c r="C32" s="28"/>
      <c r="D32" s="34">
        <f>SUM(D29:D31)</f>
        <v>-1350.5499999999977</v>
      </c>
      <c r="E32" s="15"/>
      <c r="F32" s="30">
        <f>IF(D$12=0,0,D32/D$12)</f>
        <v>-3.9041406352080539E-2</v>
      </c>
      <c r="G32" s="15"/>
      <c r="H32" s="34">
        <f>SUM(H29:H31)</f>
        <v>13681</v>
      </c>
      <c r="I32" s="15"/>
      <c r="J32" s="30">
        <f>IF(H$12=0,0,H32/H$12)</f>
        <v>0.2271761150410149</v>
      </c>
      <c r="K32" s="16"/>
      <c r="L32" s="34">
        <f>+D32-H32</f>
        <v>-15031.549999999997</v>
      </c>
      <c r="M32" s="16"/>
      <c r="N32" s="30">
        <f>IF(H32=0,0,L32/H32)</f>
        <v>-1.0987171990351581</v>
      </c>
      <c r="O32" s="27"/>
      <c r="P32" s="34">
        <f>SUM(P29:P31)</f>
        <v>58499.260000000053</v>
      </c>
      <c r="Q32" s="15"/>
      <c r="R32" s="30">
        <f>IF(P$12=0,0,P32/P$12)</f>
        <v>0.13416283556212358</v>
      </c>
      <c r="S32" s="15"/>
      <c r="T32" s="34">
        <f>SUM(T29:T31)</f>
        <v>233759</v>
      </c>
      <c r="U32" s="15"/>
      <c r="V32" s="30">
        <f>IF(T$12=0,0,T32/T$12)</f>
        <v>0.15275221114607124</v>
      </c>
      <c r="W32" s="16"/>
      <c r="X32" s="34">
        <f>+P32-T32</f>
        <v>-175259.73999999993</v>
      </c>
      <c r="Y32" s="16"/>
      <c r="Z32" s="30">
        <f>IF(T32=0,0,X32/T32)</f>
        <v>-0.74974542156665602</v>
      </c>
    </row>
    <row r="33" spans="1:24" ht="15" customHeight="1" x14ac:dyDescent="0.3">
      <c r="A33" s="10"/>
      <c r="C33" s="10"/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0"/>
      <c r="B34" s="57">
        <v>44634.883430555557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0"/>
      <c r="B35" s="56" t="s">
        <v>298</v>
      </c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A36" s="10"/>
      <c r="B36" s="54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4" ht="15" customHeight="1" x14ac:dyDescent="0.3"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91C81-99EA-000C-C53F-54117C874449}">
  <sheetPr>
    <tabColor rgb="FFFFFF00"/>
    <outlinePr summaryBelow="0" summaryRight="0"/>
  </sheetPr>
  <dimension ref="A2:Z141"/>
  <sheetViews>
    <sheetView showGridLines="0" defaultGridColor="0" colorId="8" zoomScale="80" workbookViewId="0">
      <pane xSplit="3" ySplit="10" topLeftCell="D114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309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575979.44000000006</v>
      </c>
      <c r="E12" s="5"/>
      <c r="F12" s="13"/>
      <c r="G12" s="5"/>
      <c r="H12" s="5">
        <f>SUM(OSRRefH13x_0)</f>
        <v>304640</v>
      </c>
      <c r="I12" s="5"/>
      <c r="J12" s="13"/>
      <c r="K12" s="5"/>
      <c r="L12" s="5">
        <f t="shared" ref="L12:L17" si="0">+D12-H12</f>
        <v>271339.44000000006</v>
      </c>
      <c r="M12" s="5"/>
      <c r="N12" s="13">
        <f t="shared" ref="N12:N17" si="1">IF(H12=0,0,L12/H12)</f>
        <v>0.8906888130252103</v>
      </c>
      <c r="O12" s="11"/>
      <c r="P12" s="5">
        <f>SUM(OSRRefP13x_0)</f>
        <v>2920464.6300000004</v>
      </c>
      <c r="Q12" s="5"/>
      <c r="R12" s="13"/>
      <c r="S12" s="5"/>
      <c r="T12" s="5">
        <f>SUM(OSRRefT13x_0)</f>
        <v>2573511</v>
      </c>
      <c r="U12" s="5"/>
      <c r="V12" s="13"/>
      <c r="W12" s="5"/>
      <c r="X12" s="5">
        <f t="shared" ref="X12:X17" si="2">+P12-T12</f>
        <v>346953.63000000035</v>
      </c>
      <c r="Y12" s="5"/>
      <c r="Z12" s="13">
        <f t="shared" ref="Z12:Z17" si="3">IF(T12=0,0,X12/T12)</f>
        <v>0.13481723217814121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--512055.58</f>
        <v>512055.58</v>
      </c>
      <c r="E13" s="3"/>
      <c r="F13" s="20"/>
      <c r="G13" s="3"/>
      <c r="H13" s="3">
        <v>281407</v>
      </c>
      <c r="I13" s="3"/>
      <c r="J13" s="20"/>
      <c r="K13" s="3"/>
      <c r="L13" s="3">
        <f t="shared" si="0"/>
        <v>230648.58000000002</v>
      </c>
      <c r="M13" s="3"/>
      <c r="N13" s="20">
        <f t="shared" si="1"/>
        <v>0.81962630638185974</v>
      </c>
      <c r="O13" s="12"/>
      <c r="P13" s="3">
        <f>--2718472.47</f>
        <v>2718472.47</v>
      </c>
      <c r="Q13" s="3"/>
      <c r="R13" s="20"/>
      <c r="S13" s="3"/>
      <c r="T13" s="3">
        <v>2452106</v>
      </c>
      <c r="U13" s="3"/>
      <c r="V13" s="20"/>
      <c r="W13" s="3"/>
      <c r="X13" s="3">
        <f t="shared" si="2"/>
        <v>266366.4700000002</v>
      </c>
      <c r="Y13" s="3"/>
      <c r="Z13" s="20">
        <f t="shared" si="3"/>
        <v>0.10862763273692091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--86218.32</f>
        <v>86218.32</v>
      </c>
      <c r="E14" s="3"/>
      <c r="F14" s="20"/>
      <c r="G14" s="3"/>
      <c r="H14" s="3">
        <v>23233</v>
      </c>
      <c r="I14" s="3"/>
      <c r="J14" s="20"/>
      <c r="K14" s="3"/>
      <c r="L14" s="3">
        <f t="shared" si="0"/>
        <v>62985.320000000007</v>
      </c>
      <c r="M14" s="3"/>
      <c r="N14" s="20">
        <f t="shared" si="1"/>
        <v>2.7110282787414457</v>
      </c>
      <c r="O14" s="12"/>
      <c r="P14" s="3">
        <f>--359218.84</f>
        <v>359218.84</v>
      </c>
      <c r="Q14" s="3"/>
      <c r="R14" s="20"/>
      <c r="S14" s="3"/>
      <c r="T14" s="3">
        <v>121405</v>
      </c>
      <c r="U14" s="3"/>
      <c r="V14" s="20"/>
      <c r="W14" s="3"/>
      <c r="X14" s="3">
        <f t="shared" si="2"/>
        <v>237813.84000000003</v>
      </c>
      <c r="Y14" s="3"/>
      <c r="Z14" s="20">
        <f t="shared" si="3"/>
        <v>1.9588471644495697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-14081.6</f>
        <v>-14081.6</v>
      </c>
      <c r="E15" s="3"/>
      <c r="F15" s="20"/>
      <c r="G15" s="3"/>
      <c r="H15" s="3"/>
      <c r="I15" s="3"/>
      <c r="J15" s="20"/>
      <c r="K15" s="3"/>
      <c r="L15" s="3">
        <f t="shared" si="0"/>
        <v>-14081.6</v>
      </c>
      <c r="M15" s="3"/>
      <c r="N15" s="20">
        <f t="shared" si="1"/>
        <v>0</v>
      </c>
      <c r="O15" s="12"/>
      <c r="P15" s="3">
        <f>-79993.77</f>
        <v>-79993.77</v>
      </c>
      <c r="Q15" s="3"/>
      <c r="R15" s="20"/>
      <c r="S15" s="3"/>
      <c r="T15" s="3"/>
      <c r="U15" s="3"/>
      <c r="V15" s="20"/>
      <c r="W15" s="3"/>
      <c r="X15" s="3">
        <f t="shared" si="2"/>
        <v>-79993.77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-245.74</f>
        <v>-245.74</v>
      </c>
      <c r="E16" s="3"/>
      <c r="F16" s="20"/>
      <c r="G16" s="3"/>
      <c r="H16" s="3"/>
      <c r="I16" s="3"/>
      <c r="J16" s="20"/>
      <c r="K16" s="3"/>
      <c r="L16" s="3">
        <f t="shared" si="0"/>
        <v>-245.74</v>
      </c>
      <c r="M16" s="3"/>
      <c r="N16" s="20">
        <f t="shared" si="1"/>
        <v>0</v>
      </c>
      <c r="O16" s="12"/>
      <c r="P16" s="3">
        <f>-1898.53</f>
        <v>-1898.53</v>
      </c>
      <c r="Q16" s="3"/>
      <c r="R16" s="20"/>
      <c r="S16" s="3"/>
      <c r="T16" s="3"/>
      <c r="U16" s="3"/>
      <c r="V16" s="20"/>
      <c r="W16" s="3"/>
      <c r="X16" s="3">
        <f t="shared" si="2"/>
        <v>-1898.53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-7967.12</f>
        <v>-7967.12</v>
      </c>
      <c r="E17" s="3"/>
      <c r="F17" s="20"/>
      <c r="G17" s="3"/>
      <c r="H17" s="3"/>
      <c r="I17" s="3"/>
      <c r="J17" s="20"/>
      <c r="K17" s="3"/>
      <c r="L17" s="3">
        <f t="shared" si="0"/>
        <v>-7967.12</v>
      </c>
      <c r="M17" s="3"/>
      <c r="N17" s="20">
        <f t="shared" si="1"/>
        <v>0</v>
      </c>
      <c r="O17" s="12"/>
      <c r="P17" s="3">
        <f>-75334.38</f>
        <v>-75334.38</v>
      </c>
      <c r="Q17" s="3"/>
      <c r="R17" s="20"/>
      <c r="S17" s="3"/>
      <c r="T17" s="3"/>
      <c r="U17" s="3"/>
      <c r="V17" s="20"/>
      <c r="W17" s="3"/>
      <c r="X17" s="3">
        <f t="shared" si="2"/>
        <v>-75334.38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265161.48</v>
      </c>
      <c r="E19" s="5"/>
      <c r="F19" s="13">
        <f t="shared" ref="F19:F40" si="4">IF(D$12=0,0,D19/D$12)</f>
        <v>0.46036622418327977</v>
      </c>
      <c r="G19" s="5"/>
      <c r="H19" s="5">
        <f>SUM(OSRRefH16x_0)</f>
        <v>155936</v>
      </c>
      <c r="I19" s="5"/>
      <c r="J19" s="13">
        <f t="shared" ref="J19:J40" si="5">IF(H$12=0,0,H19/H$12)</f>
        <v>0.51186974789915962</v>
      </c>
      <c r="K19" s="5"/>
      <c r="L19" s="5">
        <f t="shared" ref="L19:L40" si="6">+D19-H19</f>
        <v>109225.47999999998</v>
      </c>
      <c r="M19" s="5"/>
      <c r="N19" s="13">
        <f t="shared" ref="N19:N40" si="7">IF(H19=0,0,L19/H19)</f>
        <v>0.7004506977221423</v>
      </c>
      <c r="O19" s="11"/>
      <c r="P19" s="5">
        <f>SUM(OSRRefP16x_0)</f>
        <v>1422287.98</v>
      </c>
      <c r="Q19" s="5"/>
      <c r="R19" s="13">
        <f t="shared" ref="R19:R40" si="8">IF(P$12=0,0,P19/P$12)</f>
        <v>0.48700743210165154</v>
      </c>
      <c r="S19" s="5"/>
      <c r="T19" s="5">
        <f>SUM(OSRRefT16x_0)</f>
        <v>1338416</v>
      </c>
      <c r="U19" s="5"/>
      <c r="V19" s="13">
        <f t="shared" ref="V19:V40" si="9">IF(T$12=0,0,T19/T$12)</f>
        <v>0.52007393790040146</v>
      </c>
      <c r="W19" s="5"/>
      <c r="X19" s="5">
        <f t="shared" ref="X19:X40" si="10">+P19-T19</f>
        <v>83871.979999999981</v>
      </c>
      <c r="Y19" s="5"/>
      <c r="Z19" s="13">
        <f t="shared" ref="Z19:Z40" si="11">IF(T19=0,0,X19/T19)</f>
        <v>6.2665105617386502E-2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211305.33</v>
      </c>
      <c r="E20" s="3"/>
      <c r="F20" s="20">
        <f t="shared" si="4"/>
        <v>0.36686262620762983</v>
      </c>
      <c r="G20" s="3"/>
      <c r="H20" s="3">
        <v>155936</v>
      </c>
      <c r="I20" s="3"/>
      <c r="J20" s="20">
        <f t="shared" si="5"/>
        <v>0.51186974789915962</v>
      </c>
      <c r="K20" s="3"/>
      <c r="L20" s="3">
        <f t="shared" si="6"/>
        <v>55369.329999999987</v>
      </c>
      <c r="M20" s="3"/>
      <c r="N20" s="20">
        <f t="shared" si="7"/>
        <v>0.35507727529242761</v>
      </c>
      <c r="O20" s="12"/>
      <c r="P20" s="3">
        <v>1529420.93</v>
      </c>
      <c r="Q20" s="3"/>
      <c r="R20" s="20">
        <f t="shared" si="8"/>
        <v>0.52369096146184102</v>
      </c>
      <c r="S20" s="3"/>
      <c r="T20" s="3">
        <v>1338416</v>
      </c>
      <c r="U20" s="3"/>
      <c r="V20" s="20">
        <f t="shared" si="9"/>
        <v>0.52007393790040146</v>
      </c>
      <c r="W20" s="3"/>
      <c r="X20" s="3">
        <f t="shared" si="10"/>
        <v>191004.92999999993</v>
      </c>
      <c r="Y20" s="3"/>
      <c r="Z20" s="20">
        <f t="shared" si="11"/>
        <v>0.14270968816870086</v>
      </c>
    </row>
    <row r="21" spans="1:26" s="70" customFormat="1" ht="15" hidden="1" customHeight="1" outlineLevel="1" x14ac:dyDescent="0.3">
      <c r="A21" s="42"/>
      <c r="B21" s="12" t="str">
        <f>CONCATENATE("          ","5026"," - ","PURCHASES @ COST-WRITING INSTR")</f>
        <v xml:space="preserve">          5026 - PURCHASES @ COST-WRITING INSTR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","5027"," - ","PURCHASES @ COST-SCHOOL SUPPLI")</f>
        <v xml:space="preserve">          5027 - PURCHASES @ COST-SCHOOL SUPPLI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","5028"," - ","PURCHASES @ COST-ART/TECH")</f>
        <v xml:space="preserve">          5028 - PURCHASES @ COST-ART/TECH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","5031"," - ","PURCHASES @ COST-FOOD")</f>
        <v xml:space="preserve">          5031 - PURCHASES @ COST-FOOD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","5040"," - ","PURCHASES @ COST-LOGO CLOTHING")</f>
        <v xml:space="preserve">          5040 - PURCHASES @ COST-LOGO CLOTHING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","5041"," - ","PURCHASES @ COST-LOGO GIFTS")</f>
        <v xml:space="preserve">          5041 - PURCHASES @ COST-LOGO GIFTS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","5042"," - ","PURCHASES @ COST-EVERYDAY GIFT")</f>
        <v xml:space="preserve">          5042 - PURCHASES @ COST-EVERYDAY GIFT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","5043"," - ","PURCHASES @ COST-CARDS")</f>
        <v xml:space="preserve">          5043 - PURCHASES @ COST-CARDS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","5044"," - ","PURCHASES @ COST-ACCESSORIES")</f>
        <v xml:space="preserve">          5044 - PURCHASES @ COST-ACCESSORIES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","5045"," - ","PURCHASES @ COST-SPECIAL ORDER")</f>
        <v xml:space="preserve">          5045 - PURCHASES @ COST-SPECIAL ORDER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","5200"," - ","PURCHASES OFFSET")</f>
        <v xml:space="preserve">          5200 - PURCHASES OFFSET</v>
      </c>
      <c r="C31" s="12"/>
      <c r="D31" s="3">
        <v>-221122.89</v>
      </c>
      <c r="E31" s="3"/>
      <c r="F31" s="20">
        <f t="shared" si="4"/>
        <v>-0.38390760961884335</v>
      </c>
      <c r="G31" s="3"/>
      <c r="H31" s="3"/>
      <c r="I31" s="3"/>
      <c r="J31" s="20">
        <f t="shared" si="5"/>
        <v>0</v>
      </c>
      <c r="K31" s="3"/>
      <c r="L31" s="3">
        <f t="shared" si="6"/>
        <v>-221122.89</v>
      </c>
      <c r="M31" s="3"/>
      <c r="N31" s="20">
        <f t="shared" si="7"/>
        <v>0</v>
      </c>
      <c r="O31" s="12"/>
      <c r="P31" s="3">
        <v>-1582747.44</v>
      </c>
      <c r="Q31" s="3"/>
      <c r="R31" s="20">
        <f t="shared" si="8"/>
        <v>-0.5419505594217725</v>
      </c>
      <c r="S31" s="3"/>
      <c r="T31" s="3"/>
      <c r="U31" s="3"/>
      <c r="V31" s="20">
        <f t="shared" si="9"/>
        <v>0</v>
      </c>
      <c r="W31" s="3"/>
      <c r="X31" s="3">
        <f t="shared" si="10"/>
        <v>-1582747.44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","5300"," - ","COG$ OFFSET")</f>
        <v xml:space="preserve">          5300 - COG$ OFFSET</v>
      </c>
      <c r="C32" s="12"/>
      <c r="D32" s="3">
        <v>265161.48</v>
      </c>
      <c r="E32" s="3"/>
      <c r="F32" s="20">
        <f t="shared" si="4"/>
        <v>0.46036622418327977</v>
      </c>
      <c r="G32" s="3"/>
      <c r="H32" s="3"/>
      <c r="I32" s="3"/>
      <c r="J32" s="20">
        <f t="shared" si="5"/>
        <v>0</v>
      </c>
      <c r="K32" s="3"/>
      <c r="L32" s="3">
        <f t="shared" si="6"/>
        <v>265161.48</v>
      </c>
      <c r="M32" s="3"/>
      <c r="N32" s="20">
        <f t="shared" si="7"/>
        <v>0</v>
      </c>
      <c r="O32" s="12"/>
      <c r="P32" s="3">
        <v>1422287.98</v>
      </c>
      <c r="Q32" s="3"/>
      <c r="R32" s="20">
        <f t="shared" si="8"/>
        <v>0.48700743210165154</v>
      </c>
      <c r="S32" s="3"/>
      <c r="T32" s="3"/>
      <c r="U32" s="3"/>
      <c r="V32" s="20">
        <f t="shared" si="9"/>
        <v>0</v>
      </c>
      <c r="W32" s="3"/>
      <c r="X32" s="3">
        <f t="shared" si="10"/>
        <v>1422287.98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","5500"," - ","FREIGHT-IN")</f>
        <v xml:space="preserve">          5500 - FREIGHT-IN</v>
      </c>
      <c r="C33" s="12"/>
      <c r="D33" s="3">
        <v>9817.56</v>
      </c>
      <c r="E33" s="3"/>
      <c r="F33" s="20">
        <f t="shared" si="4"/>
        <v>1.7044983411213424E-2</v>
      </c>
      <c r="G33" s="3"/>
      <c r="H33" s="3"/>
      <c r="I33" s="3"/>
      <c r="J33" s="20">
        <f t="shared" si="5"/>
        <v>0</v>
      </c>
      <c r="K33" s="3"/>
      <c r="L33" s="3">
        <f t="shared" si="6"/>
        <v>9817.56</v>
      </c>
      <c r="M33" s="3"/>
      <c r="N33" s="20">
        <f t="shared" si="7"/>
        <v>0</v>
      </c>
      <c r="O33" s="12"/>
      <c r="P33" s="3">
        <v>53326.51</v>
      </c>
      <c r="Q33" s="3"/>
      <c r="R33" s="20">
        <f t="shared" si="8"/>
        <v>1.8259597959931463E-2</v>
      </c>
      <c r="S33" s="3"/>
      <c r="T33" s="3"/>
      <c r="U33" s="3"/>
      <c r="V33" s="20">
        <f t="shared" si="9"/>
        <v>0</v>
      </c>
      <c r="W33" s="3"/>
      <c r="X33" s="3">
        <f t="shared" si="10"/>
        <v>53326.51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","5527"," - ","FREIGHT-IN-SCHOOL SUPPLIES")</f>
        <v xml:space="preserve">          5527 - FREIGHT-IN-SCHOOL SUPPLIES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","5528"," - ","FREIGHT-IN-ART/TECH")</f>
        <v xml:space="preserve">          5528 - FREIGHT-IN-ART/TECH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","5540"," - ","FREIGHT-IN-LOGO CLOTHING")</f>
        <v xml:space="preserve">          5540 - FREIGHT-IN-LOGO CLOTHING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","5541"," - ","FREIGHT-IN-LOGO GIFTS")</f>
        <v xml:space="preserve">          5541 - FREIGHT-IN-LOGO GIFTS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","5542"," - ","FREIGHT-IN-EVERYDAY GIFTS")</f>
        <v xml:space="preserve">          5542 - FREIGHT-IN-EVERYDAY GIFTS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","5544"," - ","FREIGHT-IN-ACCESSORIES")</f>
        <v xml:space="preserve">          5544 - FREIGHT-IN-ACCESSORIES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","5545"," - ","FREIGHT-IN-SPECIAL ORDERS")</f>
        <v xml:space="preserve">          5545 - FREIGHT-IN-SPECIAL ORDERS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3" customFormat="1" ht="15" customHeight="1" x14ac:dyDescent="0.3">
      <c r="A42" s="11"/>
      <c r="B42" s="28" t="s">
        <v>289</v>
      </c>
      <c r="C42" s="28"/>
      <c r="D42" s="21">
        <f>D12-D19</f>
        <v>310817.96000000008</v>
      </c>
      <c r="E42" s="15"/>
      <c r="F42" s="22">
        <f>IF(D$12=0,0,D42/D$12)</f>
        <v>0.53963377581672023</v>
      </c>
      <c r="G42" s="15"/>
      <c r="H42" s="21">
        <f>H12-H19</f>
        <v>148704</v>
      </c>
      <c r="I42" s="15"/>
      <c r="J42" s="22">
        <f>IF(H$12=0,0,H42/H$12)</f>
        <v>0.48813025210084032</v>
      </c>
      <c r="K42" s="16"/>
      <c r="L42" s="21">
        <f>+D42-H42</f>
        <v>162113.96000000008</v>
      </c>
      <c r="M42" s="16"/>
      <c r="N42" s="22">
        <f>IF(H42=0,0,L42/H42)</f>
        <v>1.0901788788465683</v>
      </c>
      <c r="O42" s="27"/>
      <c r="P42" s="21">
        <f>P12-P19</f>
        <v>1498176.6500000004</v>
      </c>
      <c r="Q42" s="15"/>
      <c r="R42" s="22">
        <f>IF(P$12=0,0,P42/P$12)</f>
        <v>0.51299256789834846</v>
      </c>
      <c r="S42" s="15"/>
      <c r="T42" s="21">
        <f>T12-T19</f>
        <v>1235095</v>
      </c>
      <c r="U42" s="15"/>
      <c r="V42" s="22">
        <f>IF(T$12=0,0,T42/T$12)</f>
        <v>0.47992606209959854</v>
      </c>
      <c r="W42" s="16"/>
      <c r="X42" s="21">
        <f>+P42-T42</f>
        <v>263081.65000000037</v>
      </c>
      <c r="Y42" s="16"/>
      <c r="Z42" s="22">
        <f>IF(T42=0,0,X42/T42)</f>
        <v>0.21300519393245085</v>
      </c>
    </row>
    <row r="43" spans="1:26" ht="15" customHeight="1" x14ac:dyDescent="0.3">
      <c r="A43" s="10"/>
      <c r="B43" s="11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5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3" customFormat="1" ht="15" customHeight="1" x14ac:dyDescent="0.3">
      <c r="A44" s="11"/>
      <c r="B44" s="27" t="s">
        <v>290</v>
      </c>
      <c r="C44" s="11"/>
      <c r="D44" s="23" cm="1">
        <f t="array" ref="D44">SUM(OSRRefD22x_0)</f>
        <v>117333.76000000001</v>
      </c>
      <c r="E44" s="23"/>
      <c r="F44" s="29">
        <f t="shared" ref="F44:F75" si="12">IF(D$12=0,0,D44/D$12)</f>
        <v>0.2037117158209675</v>
      </c>
      <c r="G44" s="23"/>
      <c r="H44" s="23" cm="1">
        <f t="array" ref="H44">SUM(OSRRefH22x_0)</f>
        <v>113125.95143389232</v>
      </c>
      <c r="I44" s="23"/>
      <c r="J44" s="29">
        <f t="shared" ref="J44:J75" si="13">IF(H$12=0,0,H44/H$12)</f>
        <v>0.37134306536860662</v>
      </c>
      <c r="K44" s="5"/>
      <c r="L44" s="23">
        <f t="shared" ref="L44:L75" si="14">+D44-H44</f>
        <v>4207.8085661076911</v>
      </c>
      <c r="M44" s="5"/>
      <c r="N44" s="29">
        <f t="shared" ref="N44:N75" si="15">IF(H44=0,0,L44/H44)</f>
        <v>3.7195784988085762E-2</v>
      </c>
      <c r="O44" s="11"/>
      <c r="P44" s="23" cm="1">
        <f t="array" ref="P44">SUM(OSRRefP22x_0)</f>
        <v>835327.45000000007</v>
      </c>
      <c r="Q44" s="23"/>
      <c r="R44" s="29">
        <f t="shared" ref="R44:R75" si="16">IF(P$12=0,0,P44/P$12)</f>
        <v>0.28602553217704951</v>
      </c>
      <c r="S44" s="23"/>
      <c r="T44" s="23" cm="1">
        <f t="array" ref="T44">SUM(OSRRefT22x_0)</f>
        <v>957398.41320875753</v>
      </c>
      <c r="U44" s="23"/>
      <c r="V44" s="29">
        <f t="shared" ref="V44:V75" si="17">IF(T$12=0,0,T44/T$12)</f>
        <v>0.37202033067228296</v>
      </c>
      <c r="W44" s="5"/>
      <c r="X44" s="23">
        <f t="shared" ref="X44:X75" si="18">+P44-T44</f>
        <v>-122070.96320875746</v>
      </c>
      <c r="Y44" s="5"/>
      <c r="Z44" s="29">
        <f t="shared" ref="Z44:Z75" si="19">IF(T44=0,0,X44/T44)</f>
        <v>-0.12750278413313004</v>
      </c>
    </row>
    <row r="45" spans="1:26" s="69" customFormat="1" ht="15" customHeight="1" outlineLevel="1" collapsed="1" x14ac:dyDescent="0.3">
      <c r="A45" s="25"/>
      <c r="B45" s="14" t="str">
        <f>CONCATENATE("     ","*Benefits                                         ")</f>
        <v xml:space="preserve">     *Benefits                                         </v>
      </c>
      <c r="C45" s="14"/>
      <c r="D45" s="2">
        <f>SUM(OSRRefD22_0x_0)</f>
        <v>15142.26</v>
      </c>
      <c r="E45" s="2"/>
      <c r="F45" s="6">
        <f t="shared" si="12"/>
        <v>2.6289584225436934E-2</v>
      </c>
      <c r="G45" s="2"/>
      <c r="H45" s="2">
        <f>SUM(OSRRefH22_0x_0)</f>
        <v>20909.045741584625</v>
      </c>
      <c r="I45" s="2"/>
      <c r="J45" s="6">
        <f t="shared" si="13"/>
        <v>6.8635260443752052E-2</v>
      </c>
      <c r="K45" s="2"/>
      <c r="L45" s="2">
        <f t="shared" si="14"/>
        <v>-5766.7857415846247</v>
      </c>
      <c r="M45" s="2"/>
      <c r="N45" s="6">
        <f t="shared" si="15"/>
        <v>-0.27580339212302951</v>
      </c>
      <c r="O45" s="14"/>
      <c r="P45" s="2">
        <f>SUM(OSRRefP22_0x_0)</f>
        <v>120579.09</v>
      </c>
      <c r="Q45" s="2"/>
      <c r="R45" s="6">
        <f t="shared" si="16"/>
        <v>4.128763922061264E-2</v>
      </c>
      <c r="S45" s="2"/>
      <c r="T45" s="2">
        <f>SUM(OSRRefT22_0x_0)</f>
        <v>172761.17540106564</v>
      </c>
      <c r="U45" s="2"/>
      <c r="V45" s="6">
        <f t="shared" si="17"/>
        <v>6.7130536998313062E-2</v>
      </c>
      <c r="W45" s="2"/>
      <c r="X45" s="2">
        <f t="shared" si="18"/>
        <v>-52182.085401065648</v>
      </c>
      <c r="Y45" s="2"/>
      <c r="Z45" s="6">
        <f t="shared" si="19"/>
        <v>-0.30204752474000457</v>
      </c>
    </row>
    <row r="46" spans="1:26" s="70" customFormat="1" ht="15" hidden="1" customHeight="1" outlineLevel="2" x14ac:dyDescent="0.3">
      <c r="A46" s="26"/>
      <c r="B46" s="12" t="str">
        <f>CONCATENATE("          ","6111"," - ","F.I.C.A.")</f>
        <v xml:space="preserve">          6111 - F.I.C.A.</v>
      </c>
      <c r="C46" s="12"/>
      <c r="D46" s="8">
        <v>2301.62</v>
      </c>
      <c r="E46" s="3"/>
      <c r="F46" s="7">
        <f t="shared" si="12"/>
        <v>3.996010690937162E-3</v>
      </c>
      <c r="G46" s="3"/>
      <c r="H46" s="8">
        <v>5186.07617196923</v>
      </c>
      <c r="I46" s="3"/>
      <c r="J46" s="7">
        <f t="shared" si="13"/>
        <v>1.7023621888029247E-2</v>
      </c>
      <c r="K46" s="3"/>
      <c r="L46" s="8">
        <f t="shared" si="14"/>
        <v>-2884.4561719692301</v>
      </c>
      <c r="M46" s="3"/>
      <c r="N46" s="7">
        <f t="shared" si="15"/>
        <v>-0.55619240372128187</v>
      </c>
      <c r="O46" s="12"/>
      <c r="P46" s="8">
        <v>21979.57</v>
      </c>
      <c r="Q46" s="3"/>
      <c r="R46" s="7">
        <f t="shared" si="16"/>
        <v>7.5260524555642357E-3</v>
      </c>
      <c r="S46" s="3"/>
      <c r="T46" s="8">
        <v>40833.890869430797</v>
      </c>
      <c r="U46" s="3"/>
      <c r="V46" s="7">
        <f t="shared" si="17"/>
        <v>1.5866996826293261E-2</v>
      </c>
      <c r="W46" s="3"/>
      <c r="X46" s="8">
        <f t="shared" si="18"/>
        <v>-18854.320869430798</v>
      </c>
      <c r="Y46" s="3"/>
      <c r="Z46" s="7">
        <f t="shared" si="19"/>
        <v>-0.4617321658060653</v>
      </c>
    </row>
    <row r="47" spans="1:26" s="70" customFormat="1" ht="15" hidden="1" customHeight="1" outlineLevel="2" x14ac:dyDescent="0.3">
      <c r="A47" s="26"/>
      <c r="B47" s="12" t="str">
        <f>CONCATENATE("          ","6112"," - ","COMPENSATION INSURANCE")</f>
        <v xml:space="preserve">          6112 - COMPENSATION INSURANCE</v>
      </c>
      <c r="C47" s="12"/>
      <c r="D47" s="8">
        <v>1247.52</v>
      </c>
      <c r="E47" s="3"/>
      <c r="F47" s="7">
        <f t="shared" si="12"/>
        <v>2.1659106443104982E-3</v>
      </c>
      <c r="G47" s="3"/>
      <c r="H47" s="8">
        <v>1198.0687800000001</v>
      </c>
      <c r="I47" s="3"/>
      <c r="J47" s="7">
        <f t="shared" si="13"/>
        <v>3.9327362788865545E-3</v>
      </c>
      <c r="K47" s="3"/>
      <c r="L47" s="8">
        <f t="shared" si="14"/>
        <v>49.451219999999921</v>
      </c>
      <c r="M47" s="3"/>
      <c r="N47" s="7">
        <f t="shared" si="15"/>
        <v>4.1275777171991677E-2</v>
      </c>
      <c r="O47" s="12"/>
      <c r="P47" s="8">
        <v>7902.29</v>
      </c>
      <c r="Q47" s="3"/>
      <c r="R47" s="7">
        <f t="shared" si="16"/>
        <v>2.7058331468304752E-3</v>
      </c>
      <c r="S47" s="3"/>
      <c r="T47" s="8">
        <v>10183.498755000001</v>
      </c>
      <c r="U47" s="3"/>
      <c r="V47" s="7">
        <f t="shared" si="17"/>
        <v>3.9570449689160063E-3</v>
      </c>
      <c r="W47" s="3"/>
      <c r="X47" s="8">
        <f t="shared" si="18"/>
        <v>-2281.2087550000006</v>
      </c>
      <c r="Y47" s="3"/>
      <c r="Z47" s="7">
        <f t="shared" si="19"/>
        <v>-0.22401031412508876</v>
      </c>
    </row>
    <row r="48" spans="1:26" s="70" customFormat="1" ht="15" hidden="1" customHeight="1" outlineLevel="2" x14ac:dyDescent="0.3">
      <c r="A48" s="26"/>
      <c r="B48" s="12" t="str">
        <f>CONCATENATE("          ","6113"," - ","GROUP INSURANCE")</f>
        <v xml:space="preserve">          6113 - GROUP INSURANCE</v>
      </c>
      <c r="C48" s="12"/>
      <c r="D48" s="8">
        <v>4988.75</v>
      </c>
      <c r="E48" s="3"/>
      <c r="F48" s="7">
        <f t="shared" si="12"/>
        <v>8.6613334670418082E-3</v>
      </c>
      <c r="G48" s="3"/>
      <c r="H48" s="8">
        <v>7772.9230769230799</v>
      </c>
      <c r="I48" s="3"/>
      <c r="J48" s="7">
        <f t="shared" si="13"/>
        <v>2.55151098901099E-2</v>
      </c>
      <c r="K48" s="3"/>
      <c r="L48" s="8">
        <f t="shared" si="14"/>
        <v>-2784.1730769230799</v>
      </c>
      <c r="M48" s="3"/>
      <c r="N48" s="7">
        <f t="shared" si="15"/>
        <v>-0.35818868260628639</v>
      </c>
      <c r="O48" s="12"/>
      <c r="P48" s="8">
        <v>38322.03</v>
      </c>
      <c r="Q48" s="3"/>
      <c r="R48" s="7">
        <f t="shared" si="16"/>
        <v>1.3121894922589764E-2</v>
      </c>
      <c r="S48" s="3"/>
      <c r="T48" s="8">
        <v>64011.076923077002</v>
      </c>
      <c r="U48" s="3"/>
      <c r="V48" s="7">
        <f t="shared" si="17"/>
        <v>2.4873053553327341E-2</v>
      </c>
      <c r="W48" s="3"/>
      <c r="X48" s="8">
        <f t="shared" si="18"/>
        <v>-25689.046923077003</v>
      </c>
      <c r="Y48" s="3"/>
      <c r="Z48" s="7">
        <f t="shared" si="19"/>
        <v>-0.40132189861370221</v>
      </c>
    </row>
    <row r="49" spans="1:26" s="70" customFormat="1" ht="15" hidden="1" customHeight="1" outlineLevel="2" x14ac:dyDescent="0.3">
      <c r="A49" s="26"/>
      <c r="B49" s="12" t="str">
        <f>CONCATENATE("          ","6114"," - ","STATE UNEMPLOYMENT INSURANCE")</f>
        <v xml:space="preserve">          6114 - STATE UNEMPLOYMENT INSURANCE</v>
      </c>
      <c r="C49" s="12"/>
      <c r="D49" s="8">
        <v>220</v>
      </c>
      <c r="E49" s="3"/>
      <c r="F49" s="7">
        <f t="shared" si="12"/>
        <v>3.8195807822584773E-4</v>
      </c>
      <c r="G49" s="3"/>
      <c r="H49" s="8">
        <v>161.27848961538501</v>
      </c>
      <c r="I49" s="3"/>
      <c r="J49" s="7">
        <f t="shared" si="13"/>
        <v>5.2940680677319139E-4</v>
      </c>
      <c r="K49" s="3"/>
      <c r="L49" s="8">
        <f t="shared" si="14"/>
        <v>58.721510384614987</v>
      </c>
      <c r="M49" s="3"/>
      <c r="N49" s="7">
        <f t="shared" si="15"/>
        <v>0.36410007636265279</v>
      </c>
      <c r="O49" s="12"/>
      <c r="P49" s="8">
        <v>1389.18</v>
      </c>
      <c r="Q49" s="3"/>
      <c r="R49" s="7">
        <f t="shared" si="16"/>
        <v>4.7567088665614139E-4</v>
      </c>
      <c r="S49" s="3"/>
      <c r="T49" s="8">
        <v>1370.8556016346199</v>
      </c>
      <c r="U49" s="3"/>
      <c r="V49" s="7">
        <f t="shared" si="17"/>
        <v>5.3267913043100257E-4</v>
      </c>
      <c r="W49" s="3"/>
      <c r="X49" s="8">
        <f t="shared" si="18"/>
        <v>18.324398365380148</v>
      </c>
      <c r="Y49" s="3"/>
      <c r="Z49" s="7">
        <f t="shared" si="19"/>
        <v>1.3367125132311513E-2</v>
      </c>
    </row>
    <row r="50" spans="1:26" s="70" customFormat="1" ht="15" hidden="1" customHeight="1" outlineLevel="2" x14ac:dyDescent="0.3">
      <c r="A50" s="26"/>
      <c r="B50" s="12" t="str">
        <f>CONCATENATE("          ","6115"," - ","P.E.R.S.")</f>
        <v xml:space="preserve">          6115 - P.E.R.S.</v>
      </c>
      <c r="C50" s="12"/>
      <c r="D50" s="8">
        <v>1403.98</v>
      </c>
      <c r="E50" s="3"/>
      <c r="F50" s="7">
        <f t="shared" si="12"/>
        <v>2.4375522848523895E-3</v>
      </c>
      <c r="G50" s="3"/>
      <c r="H50" s="8">
        <v>1413.3438461538501</v>
      </c>
      <c r="I50" s="3"/>
      <c r="J50" s="7">
        <f t="shared" si="13"/>
        <v>4.6393902512928374E-3</v>
      </c>
      <c r="K50" s="3"/>
      <c r="L50" s="8">
        <f t="shared" si="14"/>
        <v>-9.3638461538500906</v>
      </c>
      <c r="M50" s="3"/>
      <c r="N50" s="7">
        <f t="shared" si="15"/>
        <v>-6.6253135635266957E-3</v>
      </c>
      <c r="O50" s="12"/>
      <c r="P50" s="8">
        <v>13439.63</v>
      </c>
      <c r="Q50" s="3"/>
      <c r="R50" s="7">
        <f t="shared" si="16"/>
        <v>4.6018807630620051E-3</v>
      </c>
      <c r="S50" s="3"/>
      <c r="T50" s="8">
        <v>12366.7586538462</v>
      </c>
      <c r="U50" s="3"/>
      <c r="V50" s="7">
        <f t="shared" si="17"/>
        <v>4.8054034561523925E-3</v>
      </c>
      <c r="W50" s="3"/>
      <c r="X50" s="8">
        <f t="shared" si="18"/>
        <v>1072.8713461537991</v>
      </c>
      <c r="Y50" s="3"/>
      <c r="Z50" s="7">
        <f t="shared" si="19"/>
        <v>8.6754450069268893E-2</v>
      </c>
    </row>
    <row r="51" spans="1:26" s="70" customFormat="1" ht="15" hidden="1" customHeight="1" outlineLevel="2" x14ac:dyDescent="0.3">
      <c r="A51" s="26"/>
      <c r="B51" s="12" t="str">
        <f>CONCATENATE("          ","6116"," - ","EDUCATIONAL BENEFITS")</f>
        <v xml:space="preserve">          6116 - EDUCATIONAL BENEFITS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","6118"," - ","VACATION")</f>
        <v xml:space="preserve">          6118 - VACATION</v>
      </c>
      <c r="C52" s="12"/>
      <c r="D52" s="8">
        <v>2084.77</v>
      </c>
      <c r="E52" s="3"/>
      <c r="F52" s="7">
        <f t="shared" si="12"/>
        <v>3.6195215579222753E-3</v>
      </c>
      <c r="G52" s="3"/>
      <c r="H52" s="8">
        <v>1233.7115384615399</v>
      </c>
      <c r="I52" s="3"/>
      <c r="J52" s="7">
        <f t="shared" si="13"/>
        <v>4.0497358799288993E-3</v>
      </c>
      <c r="K52" s="3"/>
      <c r="L52" s="8">
        <f t="shared" si="14"/>
        <v>851.05846153846005</v>
      </c>
      <c r="M52" s="3"/>
      <c r="N52" s="7">
        <f t="shared" si="15"/>
        <v>0.6898358611444495</v>
      </c>
      <c r="O52" s="12"/>
      <c r="P52" s="8">
        <v>16590.060000000001</v>
      </c>
      <c r="Q52" s="3"/>
      <c r="R52" s="7">
        <f t="shared" si="16"/>
        <v>5.6806234972275622E-3</v>
      </c>
      <c r="S52" s="3"/>
      <c r="T52" s="8">
        <v>10794.975961538499</v>
      </c>
      <c r="U52" s="3"/>
      <c r="V52" s="7">
        <f t="shared" si="17"/>
        <v>4.1946492404883826E-3</v>
      </c>
      <c r="W52" s="3"/>
      <c r="X52" s="8">
        <f t="shared" si="18"/>
        <v>5795.0840384615021</v>
      </c>
      <c r="Y52" s="3"/>
      <c r="Z52" s="7">
        <f t="shared" si="19"/>
        <v>0.53683158342444215</v>
      </c>
    </row>
    <row r="53" spans="1:26" s="70" customFormat="1" ht="15" hidden="1" customHeight="1" outlineLevel="2" x14ac:dyDescent="0.3">
      <c r="A53" s="26"/>
      <c r="B53" s="12" t="str">
        <f>CONCATENATE("          ","6119"," - ","SICK LEAVE")</f>
        <v xml:space="preserve">          6119 - SICK LEAVE</v>
      </c>
      <c r="C53" s="12"/>
      <c r="D53" s="8">
        <v>1933.93</v>
      </c>
      <c r="E53" s="3"/>
      <c r="F53" s="7">
        <f t="shared" si="12"/>
        <v>3.3576372101059718E-3</v>
      </c>
      <c r="G53" s="3"/>
      <c r="H53" s="8">
        <v>3068.6438384615399</v>
      </c>
      <c r="I53" s="3"/>
      <c r="J53" s="7">
        <f t="shared" si="13"/>
        <v>1.0073016801672597E-2</v>
      </c>
      <c r="K53" s="3"/>
      <c r="L53" s="8">
        <f t="shared" si="14"/>
        <v>-1134.7138384615398</v>
      </c>
      <c r="M53" s="3"/>
      <c r="N53" s="7">
        <f t="shared" si="15"/>
        <v>-0.36977697582213614</v>
      </c>
      <c r="O53" s="12"/>
      <c r="P53" s="8">
        <v>14600.36</v>
      </c>
      <c r="Q53" s="3"/>
      <c r="R53" s="7">
        <f t="shared" si="16"/>
        <v>4.9993277953172812E-3</v>
      </c>
      <c r="S53" s="3"/>
      <c r="T53" s="8">
        <v>26200.1186365385</v>
      </c>
      <c r="U53" s="3"/>
      <c r="V53" s="7">
        <f t="shared" si="17"/>
        <v>1.01806903629083E-2</v>
      </c>
      <c r="W53" s="3"/>
      <c r="X53" s="8">
        <f t="shared" si="18"/>
        <v>-11599.7586365385</v>
      </c>
      <c r="Y53" s="3"/>
      <c r="Z53" s="7">
        <f t="shared" si="19"/>
        <v>-0.44273687449497112</v>
      </c>
    </row>
    <row r="54" spans="1:26" s="70" customFormat="1" ht="15" hidden="1" customHeight="1" outlineLevel="2" x14ac:dyDescent="0.3">
      <c r="A54" s="26"/>
      <c r="B54" s="12" t="str">
        <f>CONCATENATE("          ","6156"," - ","EMPLOYEE MEALS")</f>
        <v xml:space="preserve">          6156 - EMPLOYEE MEALS</v>
      </c>
      <c r="C54" s="12"/>
      <c r="D54" s="8">
        <v>961.69</v>
      </c>
      <c r="E54" s="3"/>
      <c r="F54" s="7">
        <f t="shared" si="12"/>
        <v>1.6696602920409796E-3</v>
      </c>
      <c r="G54" s="3"/>
      <c r="H54" s="8">
        <v>875</v>
      </c>
      <c r="I54" s="3"/>
      <c r="J54" s="7">
        <f t="shared" si="13"/>
        <v>2.8722426470588237E-3</v>
      </c>
      <c r="K54" s="3"/>
      <c r="L54" s="8">
        <f t="shared" si="14"/>
        <v>86.690000000000055</v>
      </c>
      <c r="M54" s="3"/>
      <c r="N54" s="7">
        <f t="shared" si="15"/>
        <v>9.9074285714285781E-2</v>
      </c>
      <c r="O54" s="12"/>
      <c r="P54" s="8">
        <v>6355.97</v>
      </c>
      <c r="Q54" s="3"/>
      <c r="R54" s="7">
        <f t="shared" si="16"/>
        <v>2.1763557533651758E-3</v>
      </c>
      <c r="S54" s="3"/>
      <c r="T54" s="8">
        <v>7000</v>
      </c>
      <c r="U54" s="3"/>
      <c r="V54" s="7">
        <f t="shared" si="17"/>
        <v>2.7200194597963639E-3</v>
      </c>
      <c r="W54" s="3"/>
      <c r="X54" s="8">
        <f t="shared" si="18"/>
        <v>-644.02999999999975</v>
      </c>
      <c r="Y54" s="3"/>
      <c r="Z54" s="7">
        <f t="shared" si="19"/>
        <v>-9.2004285714285677E-2</v>
      </c>
    </row>
    <row r="55" spans="1:26" s="69" customFormat="1" ht="15" customHeight="1" outlineLevel="1" collapsed="1" x14ac:dyDescent="0.3">
      <c r="A55" s="25"/>
      <c r="B55" s="14" t="str">
        <f>CONCATENATE("     ","*Payroll                                          ")</f>
        <v xml:space="preserve">     *Payroll                                          </v>
      </c>
      <c r="C55" s="14"/>
      <c r="D55" s="2">
        <f>SUM(OSRRefD22_1x_0)</f>
        <v>83206.429999999993</v>
      </c>
      <c r="E55" s="2"/>
      <c r="F55" s="6">
        <f t="shared" si="12"/>
        <v>0.14446076408560693</v>
      </c>
      <c r="G55" s="2"/>
      <c r="H55" s="2">
        <f>SUM(OSRRefH22_1x_0)</f>
        <v>73653.905692307701</v>
      </c>
      <c r="I55" s="2"/>
      <c r="J55" s="6">
        <f t="shared" si="13"/>
        <v>0.2417735874878798</v>
      </c>
      <c r="K55" s="2"/>
      <c r="L55" s="2">
        <f t="shared" si="14"/>
        <v>9552.5243076922925</v>
      </c>
      <c r="M55" s="2"/>
      <c r="N55" s="6">
        <f t="shared" si="15"/>
        <v>0.12969474215798366</v>
      </c>
      <c r="O55" s="14"/>
      <c r="P55" s="2">
        <f>SUM(OSRRefP22_1x_0)</f>
        <v>541103.77</v>
      </c>
      <c r="Q55" s="2"/>
      <c r="R55" s="6">
        <f t="shared" si="16"/>
        <v>0.18528002854121192</v>
      </c>
      <c r="S55" s="2"/>
      <c r="T55" s="2">
        <f>SUM(OSRRefT22_1x_0)</f>
        <v>625452.23780769203</v>
      </c>
      <c r="U55" s="2"/>
      <c r="V55" s="6">
        <f t="shared" si="17"/>
        <v>0.24303460828715789</v>
      </c>
      <c r="W55" s="2"/>
      <c r="X55" s="2">
        <f t="shared" si="18"/>
        <v>-84348.46780769201</v>
      </c>
      <c r="Y55" s="2"/>
      <c r="Z55" s="6">
        <f t="shared" si="19"/>
        <v>-0.13485996645138978</v>
      </c>
    </row>
    <row r="56" spans="1:26" s="70" customFormat="1" ht="15" hidden="1" customHeight="1" outlineLevel="2" x14ac:dyDescent="0.3">
      <c r="A56" s="26"/>
      <c r="B56" s="12" t="str">
        <f>CONCATENATE("          ","6001"," - ","ADMINISTRATIVE SALARIES")</f>
        <v xml:space="preserve">          6001 - ADMINISTRATIVE SALARIES</v>
      </c>
      <c r="C56" s="12"/>
      <c r="D56" s="8"/>
      <c r="E56" s="3"/>
      <c r="F56" s="7">
        <f t="shared" si="12"/>
        <v>0</v>
      </c>
      <c r="G56" s="3"/>
      <c r="H56" s="8">
        <v>0</v>
      </c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","6002"," - ","STAFF SALARIES")</f>
        <v xml:space="preserve">          6002 - STAFF SALARIES</v>
      </c>
      <c r="C57" s="12"/>
      <c r="D57" s="8">
        <v>13696.08</v>
      </c>
      <c r="E57" s="3"/>
      <c r="F57" s="7">
        <f t="shared" si="12"/>
        <v>2.3778765436488495E-2</v>
      </c>
      <c r="G57" s="3"/>
      <c r="H57" s="8">
        <v>14790.807692307701</v>
      </c>
      <c r="I57" s="3"/>
      <c r="J57" s="7">
        <f t="shared" si="13"/>
        <v>4.8551758443762146E-2</v>
      </c>
      <c r="K57" s="3"/>
      <c r="L57" s="8">
        <f t="shared" si="14"/>
        <v>-1094.7276923077006</v>
      </c>
      <c r="M57" s="3"/>
      <c r="N57" s="7">
        <f t="shared" si="15"/>
        <v>-7.4014057587743431E-2</v>
      </c>
      <c r="O57" s="12"/>
      <c r="P57" s="8">
        <v>132318.47</v>
      </c>
      <c r="Q57" s="3"/>
      <c r="R57" s="7">
        <f t="shared" si="16"/>
        <v>4.530733522357365E-2</v>
      </c>
      <c r="S57" s="3"/>
      <c r="T57" s="8">
        <v>129419.56730769201</v>
      </c>
      <c r="U57" s="3"/>
      <c r="V57" s="7">
        <f t="shared" si="17"/>
        <v>5.0289105936478222E-2</v>
      </c>
      <c r="W57" s="3"/>
      <c r="X57" s="8">
        <f t="shared" si="18"/>
        <v>2898.9026923079946</v>
      </c>
      <c r="Y57" s="3"/>
      <c r="Z57" s="7">
        <f t="shared" si="19"/>
        <v>2.2399261198392983E-2</v>
      </c>
    </row>
    <row r="58" spans="1:26" s="70" customFormat="1" ht="15" hidden="1" customHeight="1" outlineLevel="2" x14ac:dyDescent="0.3">
      <c r="A58" s="26"/>
      <c r="B58" s="12" t="str">
        <f>CONCATENATE("          ","6003"," - ","STAFF HOURLY-9 MONTH")</f>
        <v xml:space="preserve">          6003 - STAFF HOURLY-9 MONTH</v>
      </c>
      <c r="C58" s="12"/>
      <c r="D58" s="8"/>
      <c r="E58" s="3"/>
      <c r="F58" s="7">
        <f t="shared" si="12"/>
        <v>0</v>
      </c>
      <c r="G58" s="3"/>
      <c r="H58" s="8">
        <v>0</v>
      </c>
      <c r="I58" s="3"/>
      <c r="J58" s="7">
        <f t="shared" si="13"/>
        <v>0</v>
      </c>
      <c r="K58" s="3"/>
      <c r="L58" s="8">
        <f t="shared" si="14"/>
        <v>0</v>
      </c>
      <c r="M58" s="3"/>
      <c r="N58" s="7">
        <f t="shared" si="15"/>
        <v>0</v>
      </c>
      <c r="O58" s="12"/>
      <c r="P58" s="8"/>
      <c r="Q58" s="3"/>
      <c r="R58" s="7">
        <f t="shared" si="16"/>
        <v>0</v>
      </c>
      <c r="S58" s="3"/>
      <c r="T58" s="8">
        <v>0</v>
      </c>
      <c r="U58" s="3"/>
      <c r="V58" s="7">
        <f t="shared" si="17"/>
        <v>0</v>
      </c>
      <c r="W58" s="3"/>
      <c r="X58" s="8">
        <f t="shared" si="18"/>
        <v>0</v>
      </c>
      <c r="Y58" s="3"/>
      <c r="Z58" s="7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","6004"," - ","STAFF HOURLY")</f>
        <v xml:space="preserve">          6004 - STAFF HOURLY</v>
      </c>
      <c r="C59" s="12"/>
      <c r="D59" s="8">
        <v>13957.01</v>
      </c>
      <c r="E59" s="3"/>
      <c r="F59" s="7">
        <f t="shared" si="12"/>
        <v>2.4231785078995177E-2</v>
      </c>
      <c r="G59" s="3"/>
      <c r="H59" s="8">
        <v>20297.088</v>
      </c>
      <c r="I59" s="3"/>
      <c r="J59" s="7">
        <f t="shared" si="13"/>
        <v>6.6626470588235287E-2</v>
      </c>
      <c r="K59" s="3"/>
      <c r="L59" s="8">
        <f t="shared" si="14"/>
        <v>-6340.0779999999995</v>
      </c>
      <c r="M59" s="3"/>
      <c r="N59" s="7">
        <f t="shared" si="15"/>
        <v>-0.31236392136645413</v>
      </c>
      <c r="O59" s="12"/>
      <c r="P59" s="8">
        <v>74552.149999999994</v>
      </c>
      <c r="Q59" s="3"/>
      <c r="R59" s="7">
        <f t="shared" si="16"/>
        <v>2.5527496287465732E-2</v>
      </c>
      <c r="S59" s="3"/>
      <c r="T59" s="8">
        <v>174067.64799999999</v>
      </c>
      <c r="U59" s="3"/>
      <c r="V59" s="7">
        <f t="shared" si="17"/>
        <v>6.7638198554426224E-2</v>
      </c>
      <c r="W59" s="3"/>
      <c r="X59" s="8">
        <f t="shared" si="18"/>
        <v>-99515.497999999992</v>
      </c>
      <c r="Y59" s="3"/>
      <c r="Z59" s="7">
        <f t="shared" si="19"/>
        <v>-0.5717058806930051</v>
      </c>
    </row>
    <row r="60" spans="1:26" s="70" customFormat="1" ht="15" hidden="1" customHeight="1" outlineLevel="2" x14ac:dyDescent="0.3">
      <c r="A60" s="26"/>
      <c r="B60" s="12" t="str">
        <f>CONCATENATE("          ","6005"," - ","TEMPORARY WAGES-HOURLY")</f>
        <v xml:space="preserve">          6005 - TEMPORARY WAGES-HOURLY</v>
      </c>
      <c r="C60" s="12"/>
      <c r="D60" s="8">
        <v>4048.6</v>
      </c>
      <c r="E60" s="3"/>
      <c r="F60" s="7">
        <f t="shared" si="12"/>
        <v>7.0290703432053054E-3</v>
      </c>
      <c r="G60" s="3"/>
      <c r="H60" s="8">
        <v>0</v>
      </c>
      <c r="I60" s="3"/>
      <c r="J60" s="7">
        <f t="shared" si="13"/>
        <v>0</v>
      </c>
      <c r="K60" s="3"/>
      <c r="L60" s="8">
        <f t="shared" si="14"/>
        <v>4048.6</v>
      </c>
      <c r="M60" s="3"/>
      <c r="N60" s="7">
        <f t="shared" si="15"/>
        <v>0</v>
      </c>
      <c r="O60" s="12"/>
      <c r="P60" s="8">
        <v>29168.27</v>
      </c>
      <c r="Q60" s="3"/>
      <c r="R60" s="7">
        <f t="shared" si="16"/>
        <v>9.9875443449558218E-3</v>
      </c>
      <c r="S60" s="3"/>
      <c r="T60" s="8">
        <v>0</v>
      </c>
      <c r="U60" s="3"/>
      <c r="V60" s="7">
        <f t="shared" si="17"/>
        <v>0</v>
      </c>
      <c r="W60" s="3"/>
      <c r="X60" s="8">
        <f t="shared" si="18"/>
        <v>29168.27</v>
      </c>
      <c r="Y60" s="3"/>
      <c r="Z60" s="7">
        <f t="shared" si="19"/>
        <v>0</v>
      </c>
    </row>
    <row r="61" spans="1:26" s="70" customFormat="1" ht="15" hidden="1" customHeight="1" outlineLevel="2" x14ac:dyDescent="0.3">
      <c r="A61" s="26"/>
      <c r="B61" s="12" t="str">
        <f>CONCATENATE("          ","6006"," - ","TEMPORARY PART TIME")</f>
        <v xml:space="preserve">          6006 - TEMPORARY PART TIME</v>
      </c>
      <c r="C61" s="12"/>
      <c r="D61" s="8"/>
      <c r="E61" s="3"/>
      <c r="F61" s="7">
        <f t="shared" si="12"/>
        <v>0</v>
      </c>
      <c r="G61" s="3"/>
      <c r="H61" s="8">
        <v>0</v>
      </c>
      <c r="I61" s="3"/>
      <c r="J61" s="7">
        <f t="shared" si="13"/>
        <v>0</v>
      </c>
      <c r="K61" s="3"/>
      <c r="L61" s="8">
        <f t="shared" si="14"/>
        <v>0</v>
      </c>
      <c r="M61" s="3"/>
      <c r="N61" s="7">
        <f t="shared" si="15"/>
        <v>0</v>
      </c>
      <c r="O61" s="12"/>
      <c r="P61" s="8"/>
      <c r="Q61" s="3"/>
      <c r="R61" s="7">
        <f t="shared" si="16"/>
        <v>0</v>
      </c>
      <c r="S61" s="3"/>
      <c r="T61" s="8">
        <v>0</v>
      </c>
      <c r="U61" s="3"/>
      <c r="V61" s="7">
        <f t="shared" si="17"/>
        <v>0</v>
      </c>
      <c r="W61" s="3"/>
      <c r="X61" s="8">
        <f t="shared" si="18"/>
        <v>0</v>
      </c>
      <c r="Y61" s="3"/>
      <c r="Z61" s="7">
        <f t="shared" si="19"/>
        <v>0</v>
      </c>
    </row>
    <row r="62" spans="1:26" s="70" customFormat="1" ht="15" hidden="1" customHeight="1" outlineLevel="2" x14ac:dyDescent="0.3">
      <c r="A62" s="26"/>
      <c r="B62" s="12" t="str">
        <f>CONCATENATE("          ","6007"," - ","STUDENT HOURLY")</f>
        <v xml:space="preserve">          6007 - STUDENT HOURLY</v>
      </c>
      <c r="C62" s="12"/>
      <c r="D62" s="8">
        <v>38177.019999999997</v>
      </c>
      <c r="E62" s="3"/>
      <c r="F62" s="7">
        <f t="shared" si="12"/>
        <v>6.6281914507226147E-2</v>
      </c>
      <c r="G62" s="3"/>
      <c r="H62" s="8">
        <v>29532</v>
      </c>
      <c r="I62" s="3"/>
      <c r="J62" s="7">
        <f t="shared" si="13"/>
        <v>9.6940651260504204E-2</v>
      </c>
      <c r="K62" s="3"/>
      <c r="L62" s="8">
        <f t="shared" si="14"/>
        <v>8645.0199999999968</v>
      </c>
      <c r="M62" s="3"/>
      <c r="N62" s="7">
        <f t="shared" si="15"/>
        <v>0.29273398347555185</v>
      </c>
      <c r="O62" s="12"/>
      <c r="P62" s="8">
        <v>244386.89</v>
      </c>
      <c r="Q62" s="3"/>
      <c r="R62" s="7">
        <f t="shared" si="16"/>
        <v>8.3680825129527417E-2</v>
      </c>
      <c r="S62" s="3"/>
      <c r="T62" s="8">
        <v>202743.75</v>
      </c>
      <c r="U62" s="3"/>
      <c r="V62" s="7">
        <f t="shared" si="17"/>
        <v>7.8780992193155583E-2</v>
      </c>
      <c r="W62" s="3"/>
      <c r="X62" s="8">
        <f t="shared" si="18"/>
        <v>41643.140000000014</v>
      </c>
      <c r="Y62" s="3"/>
      <c r="Z62" s="7">
        <f t="shared" si="19"/>
        <v>0.20539789759240426</v>
      </c>
    </row>
    <row r="63" spans="1:26" s="70" customFormat="1" ht="15" hidden="1" customHeight="1" outlineLevel="2" x14ac:dyDescent="0.3">
      <c r="A63" s="26"/>
      <c r="B63" s="12" t="str">
        <f>CONCATENATE("          ","6008"," - ","STUDENT HOURLY-FICA EXEMPT")</f>
        <v xml:space="preserve">          6008 - STUDENT HOURLY-FICA EXEMPT</v>
      </c>
      <c r="C63" s="12"/>
      <c r="D63" s="8">
        <v>13327.72</v>
      </c>
      <c r="E63" s="3"/>
      <c r="F63" s="7">
        <f t="shared" si="12"/>
        <v>2.3139228719691797E-2</v>
      </c>
      <c r="G63" s="3"/>
      <c r="H63" s="8">
        <v>9034.01</v>
      </c>
      <c r="I63" s="3"/>
      <c r="J63" s="7">
        <f t="shared" si="13"/>
        <v>2.9654707195378154E-2</v>
      </c>
      <c r="K63" s="3"/>
      <c r="L63" s="8">
        <f t="shared" si="14"/>
        <v>4293.7099999999991</v>
      </c>
      <c r="M63" s="3"/>
      <c r="N63" s="7">
        <f t="shared" si="15"/>
        <v>0.47528284781619667</v>
      </c>
      <c r="O63" s="12"/>
      <c r="P63" s="8">
        <v>60677.99</v>
      </c>
      <c r="Q63" s="3"/>
      <c r="R63" s="7">
        <f t="shared" si="16"/>
        <v>2.0776827555689312E-2</v>
      </c>
      <c r="S63" s="3"/>
      <c r="T63" s="8">
        <v>119221.27250000001</v>
      </c>
      <c r="U63" s="3"/>
      <c r="V63" s="7">
        <f t="shared" si="17"/>
        <v>4.6326311603097872E-2</v>
      </c>
      <c r="W63" s="3"/>
      <c r="X63" s="8">
        <f t="shared" si="18"/>
        <v>-58543.282500000008</v>
      </c>
      <c r="Y63" s="3"/>
      <c r="Z63" s="7">
        <f t="shared" si="19"/>
        <v>-0.49104728772291878</v>
      </c>
    </row>
    <row r="64" spans="1:26" s="70" customFormat="1" ht="15" hidden="1" customHeight="1" outlineLevel="2" x14ac:dyDescent="0.3">
      <c r="A64" s="26"/>
      <c r="B64" s="12" t="str">
        <f>CONCATENATE("          ","6009"," - ","TEMPORARY-SEASONAL")</f>
        <v xml:space="preserve">          6009 - TEMPORARY-SEASONAL</v>
      </c>
      <c r="C64" s="12"/>
      <c r="D64" s="8"/>
      <c r="E64" s="3"/>
      <c r="F64" s="7">
        <f t="shared" si="12"/>
        <v>0</v>
      </c>
      <c r="G64" s="3"/>
      <c r="H64" s="8">
        <v>0</v>
      </c>
      <c r="I64" s="3"/>
      <c r="J64" s="7">
        <f t="shared" si="13"/>
        <v>0</v>
      </c>
      <c r="K64" s="3"/>
      <c r="L64" s="8">
        <f t="shared" si="14"/>
        <v>0</v>
      </c>
      <c r="M64" s="3"/>
      <c r="N64" s="7">
        <f t="shared" si="15"/>
        <v>0</v>
      </c>
      <c r="O64" s="12"/>
      <c r="P64" s="8"/>
      <c r="Q64" s="3"/>
      <c r="R64" s="7">
        <f t="shared" si="16"/>
        <v>0</v>
      </c>
      <c r="S64" s="3"/>
      <c r="T64" s="8">
        <v>0</v>
      </c>
      <c r="U64" s="3"/>
      <c r="V64" s="7">
        <f t="shared" si="17"/>
        <v>0</v>
      </c>
      <c r="W64" s="3"/>
      <c r="X64" s="8">
        <f t="shared" si="18"/>
        <v>0</v>
      </c>
      <c r="Y64" s="3"/>
      <c r="Z64" s="7">
        <f t="shared" si="19"/>
        <v>0</v>
      </c>
    </row>
    <row r="65" spans="1:26" s="70" customFormat="1" ht="15" hidden="1" customHeight="1" outlineLevel="2" x14ac:dyDescent="0.3">
      <c r="A65" s="26"/>
      <c r="B65" s="12" t="str">
        <f>CONCATENATE("          ","6010"," - ","GRATUITY")</f>
        <v xml:space="preserve">          6010 - GRATUITY</v>
      </c>
      <c r="C65" s="12"/>
      <c r="D65" s="8"/>
      <c r="E65" s="3"/>
      <c r="F65" s="7">
        <f t="shared" si="12"/>
        <v>0</v>
      </c>
      <c r="G65" s="3"/>
      <c r="H65" s="8">
        <v>0</v>
      </c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/>
      <c r="Q65" s="3"/>
      <c r="R65" s="7">
        <f t="shared" si="16"/>
        <v>0</v>
      </c>
      <c r="S65" s="3"/>
      <c r="T65" s="8">
        <v>0</v>
      </c>
      <c r="U65" s="3"/>
      <c r="V65" s="7">
        <f t="shared" si="17"/>
        <v>0</v>
      </c>
      <c r="W65" s="3"/>
      <c r="X65" s="8">
        <f t="shared" si="18"/>
        <v>0</v>
      </c>
      <c r="Y65" s="3"/>
      <c r="Z65" s="7">
        <f t="shared" si="19"/>
        <v>0</v>
      </c>
    </row>
    <row r="66" spans="1:26" s="69" customFormat="1" ht="15" customHeight="1" outlineLevel="1" collapsed="1" x14ac:dyDescent="0.3">
      <c r="A66" s="25"/>
      <c r="B66" s="14" t="str">
        <f>CONCATENATE("     ","Advertising/Promo                                 ")</f>
        <v xml:space="preserve">     Advertising/Promo                                 </v>
      </c>
      <c r="C66" s="14"/>
      <c r="D66" s="2">
        <f>SUM(OSRRefD22_2x_0)</f>
        <v>316.10000000000002</v>
      </c>
      <c r="E66" s="2"/>
      <c r="F66" s="6">
        <f t="shared" si="12"/>
        <v>5.4880431148722941E-4</v>
      </c>
      <c r="G66" s="2"/>
      <c r="H66" s="2">
        <f>SUM(OSRRefH22_2x_0)</f>
        <v>150</v>
      </c>
      <c r="I66" s="2"/>
      <c r="J66" s="6">
        <f t="shared" si="13"/>
        <v>4.9238445378151259E-4</v>
      </c>
      <c r="K66" s="2"/>
      <c r="L66" s="2">
        <f t="shared" si="14"/>
        <v>166.10000000000002</v>
      </c>
      <c r="M66" s="2"/>
      <c r="N66" s="6">
        <f t="shared" si="15"/>
        <v>1.1073333333333335</v>
      </c>
      <c r="O66" s="14"/>
      <c r="P66" s="2">
        <f>SUM(OSRRefP22_2x_0)</f>
        <v>6020.61</v>
      </c>
      <c r="Q66" s="2"/>
      <c r="R66" s="6">
        <f t="shared" si="16"/>
        <v>2.0615247101965412E-3</v>
      </c>
      <c r="S66" s="2"/>
      <c r="T66" s="2">
        <f>SUM(OSRRefT22_2x_0)</f>
        <v>2600</v>
      </c>
      <c r="U66" s="2"/>
      <c r="V66" s="6">
        <f t="shared" si="17"/>
        <v>1.0102929422100781E-3</v>
      </c>
      <c r="W66" s="2"/>
      <c r="X66" s="2">
        <f t="shared" si="18"/>
        <v>3420.6099999999997</v>
      </c>
      <c r="Y66" s="2"/>
      <c r="Z66" s="6">
        <f t="shared" si="19"/>
        <v>1.3156192307692307</v>
      </c>
    </row>
    <row r="67" spans="1:26" s="70" customFormat="1" ht="15" hidden="1" customHeight="1" outlineLevel="2" x14ac:dyDescent="0.3">
      <c r="A67" s="26"/>
      <c r="B67" s="12" t="str">
        <f>CONCATENATE("          ","6362"," - ","ADVERTISING EXPENSE")</f>
        <v xml:space="preserve">          6362 - ADVERTISING EXPENSE</v>
      </c>
      <c r="C67" s="12"/>
      <c r="D67" s="8">
        <v>316.10000000000002</v>
      </c>
      <c r="E67" s="3"/>
      <c r="F67" s="7">
        <f t="shared" si="12"/>
        <v>5.4880431148722941E-4</v>
      </c>
      <c r="G67" s="3"/>
      <c r="H67" s="8">
        <v>150</v>
      </c>
      <c r="I67" s="3"/>
      <c r="J67" s="7">
        <f t="shared" si="13"/>
        <v>4.9238445378151259E-4</v>
      </c>
      <c r="K67" s="3"/>
      <c r="L67" s="8">
        <f t="shared" si="14"/>
        <v>166.10000000000002</v>
      </c>
      <c r="M67" s="3"/>
      <c r="N67" s="7">
        <f t="shared" si="15"/>
        <v>1.1073333333333335</v>
      </c>
      <c r="O67" s="12"/>
      <c r="P67" s="8">
        <v>6020.61</v>
      </c>
      <c r="Q67" s="3"/>
      <c r="R67" s="7">
        <f t="shared" si="16"/>
        <v>2.0615247101965412E-3</v>
      </c>
      <c r="S67" s="3"/>
      <c r="T67" s="8">
        <v>2600</v>
      </c>
      <c r="U67" s="3"/>
      <c r="V67" s="7">
        <f t="shared" si="17"/>
        <v>1.0102929422100781E-3</v>
      </c>
      <c r="W67" s="3"/>
      <c r="X67" s="8">
        <f t="shared" si="18"/>
        <v>3420.6099999999997</v>
      </c>
      <c r="Y67" s="3"/>
      <c r="Z67" s="7">
        <f t="shared" si="19"/>
        <v>1.3156192307692307</v>
      </c>
    </row>
    <row r="68" spans="1:26" s="69" customFormat="1" ht="15" customHeight="1" outlineLevel="1" collapsed="1" x14ac:dyDescent="0.3">
      <c r="A68" s="25"/>
      <c r="B68" s="14" t="str">
        <f>CONCATENATE("     ","Bad Debts/Over/Short                              ")</f>
        <v xml:space="preserve">     Bad Debts/Over/Short                              </v>
      </c>
      <c r="C68" s="14"/>
      <c r="D68" s="2">
        <f>SUM(OSRRefD22_3x_0)</f>
        <v>-20.39</v>
      </c>
      <c r="E68" s="2"/>
      <c r="F68" s="6">
        <f t="shared" si="12"/>
        <v>-3.5400569159204711E-5</v>
      </c>
      <c r="G68" s="2"/>
      <c r="H68" s="2">
        <f>SUM(OSRRefH22_3x_0)</f>
        <v>35</v>
      </c>
      <c r="I68" s="2"/>
      <c r="J68" s="6">
        <f t="shared" si="13"/>
        <v>1.1488970588235294E-4</v>
      </c>
      <c r="K68" s="2"/>
      <c r="L68" s="2">
        <f t="shared" si="14"/>
        <v>-55.39</v>
      </c>
      <c r="M68" s="2"/>
      <c r="N68" s="6">
        <f t="shared" si="15"/>
        <v>-1.5825714285714285</v>
      </c>
      <c r="O68" s="14"/>
      <c r="P68" s="2">
        <f>SUM(OSRRefP22_3x_0)</f>
        <v>-42.07</v>
      </c>
      <c r="Q68" s="2"/>
      <c r="R68" s="6">
        <f t="shared" si="16"/>
        <v>-1.440524208642787E-5</v>
      </c>
      <c r="S68" s="2"/>
      <c r="T68" s="2">
        <f>SUM(OSRRefT22_3x_0)</f>
        <v>280</v>
      </c>
      <c r="U68" s="2"/>
      <c r="V68" s="6">
        <f t="shared" si="17"/>
        <v>1.0880077839185455E-4</v>
      </c>
      <c r="W68" s="2"/>
      <c r="X68" s="2">
        <f t="shared" si="18"/>
        <v>-322.07</v>
      </c>
      <c r="Y68" s="2"/>
      <c r="Z68" s="6">
        <f t="shared" si="19"/>
        <v>-1.15025</v>
      </c>
    </row>
    <row r="69" spans="1:26" s="70" customFormat="1" ht="15" hidden="1" customHeight="1" outlineLevel="2" x14ac:dyDescent="0.3">
      <c r="A69" s="26"/>
      <c r="B69" s="12" t="str">
        <f>CONCATENATE("          ","6272"," - ","CASH (OVER/SHORT)")</f>
        <v xml:space="preserve">          6272 - CASH (OVER/SHORT)</v>
      </c>
      <c r="C69" s="12"/>
      <c r="D69" s="8">
        <v>-20.39</v>
      </c>
      <c r="E69" s="3"/>
      <c r="F69" s="7">
        <f t="shared" si="12"/>
        <v>-3.5400569159204711E-5</v>
      </c>
      <c r="G69" s="3"/>
      <c r="H69" s="8">
        <v>35</v>
      </c>
      <c r="I69" s="3"/>
      <c r="J69" s="7">
        <f t="shared" si="13"/>
        <v>1.1488970588235294E-4</v>
      </c>
      <c r="K69" s="3"/>
      <c r="L69" s="8">
        <f t="shared" si="14"/>
        <v>-55.39</v>
      </c>
      <c r="M69" s="3"/>
      <c r="N69" s="7">
        <f t="shared" si="15"/>
        <v>-1.5825714285714285</v>
      </c>
      <c r="O69" s="12"/>
      <c r="P69" s="8">
        <v>-42.07</v>
      </c>
      <c r="Q69" s="3"/>
      <c r="R69" s="7">
        <f t="shared" si="16"/>
        <v>-1.440524208642787E-5</v>
      </c>
      <c r="S69" s="3"/>
      <c r="T69" s="8">
        <v>280</v>
      </c>
      <c r="U69" s="3"/>
      <c r="V69" s="7">
        <f t="shared" si="17"/>
        <v>1.0880077839185455E-4</v>
      </c>
      <c r="W69" s="3"/>
      <c r="X69" s="8">
        <f t="shared" si="18"/>
        <v>-322.07</v>
      </c>
      <c r="Y69" s="3"/>
      <c r="Z69" s="7">
        <f t="shared" si="19"/>
        <v>-1.15025</v>
      </c>
    </row>
    <row r="70" spans="1:26" s="69" customFormat="1" ht="15" customHeight="1" outlineLevel="1" collapsed="1" x14ac:dyDescent="0.3">
      <c r="A70" s="25"/>
      <c r="B70" s="14" t="str">
        <f>CONCATENATE("     ","Bank/card Fees                                    ")</f>
        <v xml:space="preserve">     Bank/card Fees                                    </v>
      </c>
      <c r="C70" s="14"/>
      <c r="D70" s="2">
        <f>SUM(OSRRefD22_4x_0)</f>
        <v>452.13</v>
      </c>
      <c r="E70" s="2"/>
      <c r="F70" s="6">
        <f t="shared" si="12"/>
        <v>7.8497593594660249E-4</v>
      </c>
      <c r="G70" s="2"/>
      <c r="H70" s="2">
        <f>SUM(OSRRefH22_4x_0)</f>
        <v>1656</v>
      </c>
      <c r="I70" s="2"/>
      <c r="J70" s="6">
        <f t="shared" si="13"/>
        <v>5.4359243697478989E-3</v>
      </c>
      <c r="K70" s="2"/>
      <c r="L70" s="2">
        <f t="shared" si="14"/>
        <v>-1203.8699999999999</v>
      </c>
      <c r="M70" s="2"/>
      <c r="N70" s="6">
        <f t="shared" si="15"/>
        <v>-0.72697463768115933</v>
      </c>
      <c r="O70" s="14"/>
      <c r="P70" s="2">
        <f>SUM(OSRRefP22_4x_0)</f>
        <v>4266.21</v>
      </c>
      <c r="Q70" s="2"/>
      <c r="R70" s="6">
        <f t="shared" si="16"/>
        <v>1.4607983798797109E-3</v>
      </c>
      <c r="S70" s="2"/>
      <c r="T70" s="2">
        <f>SUM(OSRRefT22_4x_0)</f>
        <v>11338</v>
      </c>
      <c r="U70" s="2"/>
      <c r="V70" s="6">
        <f t="shared" si="17"/>
        <v>4.4056543764530243E-3</v>
      </c>
      <c r="W70" s="2"/>
      <c r="X70" s="2">
        <f t="shared" si="18"/>
        <v>-7071.79</v>
      </c>
      <c r="Y70" s="2"/>
      <c r="Z70" s="6">
        <f t="shared" si="19"/>
        <v>-0.62372464279414364</v>
      </c>
    </row>
    <row r="71" spans="1:26" s="70" customFormat="1" ht="15" hidden="1" customHeight="1" outlineLevel="2" x14ac:dyDescent="0.3">
      <c r="A71" s="26"/>
      <c r="B71" s="12" t="str">
        <f>CONCATENATE("          ","6381"," - ","BANK/CREDIT CARD FEES")</f>
        <v xml:space="preserve">          6381 - BANK/CREDIT CARD FEES</v>
      </c>
      <c r="C71" s="12"/>
      <c r="D71" s="8">
        <v>452.13</v>
      </c>
      <c r="E71" s="3"/>
      <c r="F71" s="7">
        <f t="shared" si="12"/>
        <v>7.8497593594660249E-4</v>
      </c>
      <c r="G71" s="3"/>
      <c r="H71" s="8">
        <v>1656</v>
      </c>
      <c r="I71" s="3"/>
      <c r="J71" s="7">
        <f t="shared" si="13"/>
        <v>5.4359243697478989E-3</v>
      </c>
      <c r="K71" s="3"/>
      <c r="L71" s="8">
        <f t="shared" si="14"/>
        <v>-1203.8699999999999</v>
      </c>
      <c r="M71" s="3"/>
      <c r="N71" s="7">
        <f t="shared" si="15"/>
        <v>-0.72697463768115933</v>
      </c>
      <c r="O71" s="12"/>
      <c r="P71" s="8">
        <v>4266.21</v>
      </c>
      <c r="Q71" s="3"/>
      <c r="R71" s="7">
        <f t="shared" si="16"/>
        <v>1.4607983798797109E-3</v>
      </c>
      <c r="S71" s="3"/>
      <c r="T71" s="8">
        <v>11338</v>
      </c>
      <c r="U71" s="3"/>
      <c r="V71" s="7">
        <f t="shared" si="17"/>
        <v>4.4056543764530243E-3</v>
      </c>
      <c r="W71" s="3"/>
      <c r="X71" s="8">
        <f t="shared" si="18"/>
        <v>-7071.79</v>
      </c>
      <c r="Y71" s="3"/>
      <c r="Z71" s="7">
        <f t="shared" si="19"/>
        <v>-0.62372464279414364</v>
      </c>
    </row>
    <row r="72" spans="1:26" s="69" customFormat="1" ht="15" customHeight="1" outlineLevel="1" collapsed="1" x14ac:dyDescent="0.3">
      <c r="A72" s="25"/>
      <c r="B72" s="14" t="str">
        <f>CONCATENATE("     ","Discounts and Markdowns                           ")</f>
        <v xml:space="preserve">     Discounts and Markdowns                           </v>
      </c>
      <c r="C72" s="14"/>
      <c r="D72" s="2">
        <f>SUM(OSRRefD22_5x_0)</f>
        <v>0.98</v>
      </c>
      <c r="E72" s="2"/>
      <c r="F72" s="6">
        <f t="shared" si="12"/>
        <v>1.7014496211878673E-6</v>
      </c>
      <c r="G72" s="2"/>
      <c r="H72" s="2">
        <f>SUM(OSRRefH22_5x_0)</f>
        <v>0</v>
      </c>
      <c r="I72" s="2"/>
      <c r="J72" s="6">
        <f t="shared" si="13"/>
        <v>0</v>
      </c>
      <c r="K72" s="2"/>
      <c r="L72" s="2">
        <f t="shared" si="14"/>
        <v>0.98</v>
      </c>
      <c r="M72" s="2"/>
      <c r="N72" s="6">
        <f t="shared" si="15"/>
        <v>0</v>
      </c>
      <c r="O72" s="14"/>
      <c r="P72" s="2">
        <f>SUM(OSRRefP22_5x_0)</f>
        <v>0</v>
      </c>
      <c r="Q72" s="2"/>
      <c r="R72" s="6">
        <f t="shared" si="16"/>
        <v>0</v>
      </c>
      <c r="S72" s="2"/>
      <c r="T72" s="2">
        <f>SUM(OSRRefT22_5x_0)</f>
        <v>0</v>
      </c>
      <c r="U72" s="2"/>
      <c r="V72" s="6">
        <f t="shared" si="17"/>
        <v>0</v>
      </c>
      <c r="W72" s="2"/>
      <c r="X72" s="2">
        <f t="shared" si="18"/>
        <v>0</v>
      </c>
      <c r="Y72" s="2"/>
      <c r="Z72" s="6">
        <f t="shared" si="19"/>
        <v>0</v>
      </c>
    </row>
    <row r="73" spans="1:26" s="70" customFormat="1" ht="15" hidden="1" customHeight="1" outlineLevel="2" x14ac:dyDescent="0.3">
      <c r="A73" s="26"/>
      <c r="B73" s="12" t="str">
        <f>CONCATENATE("          ","6382"," - ","DISCOUNTS/MARK DOWNS")</f>
        <v xml:space="preserve">          6382 - DISCOUNTS/MARK DOWNS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","9175"," - ","EARNED DISCOUNTS")</f>
        <v xml:space="preserve">          9175 - EARNED DISCOUNTS</v>
      </c>
      <c r="C74" s="12"/>
      <c r="D74" s="8">
        <v>0.98</v>
      </c>
      <c r="E74" s="3"/>
      <c r="F74" s="7">
        <f t="shared" si="12"/>
        <v>1.7014496211878673E-6</v>
      </c>
      <c r="G74" s="3"/>
      <c r="H74" s="8"/>
      <c r="I74" s="3"/>
      <c r="J74" s="7">
        <f t="shared" si="13"/>
        <v>0</v>
      </c>
      <c r="K74" s="3"/>
      <c r="L74" s="8">
        <f t="shared" si="14"/>
        <v>0.98</v>
      </c>
      <c r="M74" s="3"/>
      <c r="N74" s="7">
        <f t="shared" si="15"/>
        <v>0</v>
      </c>
      <c r="O74" s="12"/>
      <c r="P74" s="8">
        <v>0</v>
      </c>
      <c r="Q74" s="3"/>
      <c r="R74" s="7">
        <f t="shared" si="16"/>
        <v>0</v>
      </c>
      <c r="S74" s="3"/>
      <c r="T74" s="8"/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9" customFormat="1" ht="15" customHeight="1" outlineLevel="1" collapsed="1" x14ac:dyDescent="0.3">
      <c r="A75" s="25"/>
      <c r="B75" s="14" t="str">
        <f>CONCATENATE("     ","Employees' Appreciation                           ")</f>
        <v xml:space="preserve">     Employees' Appreciation                           </v>
      </c>
      <c r="C75" s="14"/>
      <c r="D75" s="2">
        <f>SUM(OSRRefD22_6x_0)</f>
        <v>0</v>
      </c>
      <c r="E75" s="2"/>
      <c r="F75" s="6">
        <f t="shared" si="12"/>
        <v>0</v>
      </c>
      <c r="G75" s="2"/>
      <c r="H75" s="2">
        <f>SUM(OSRRefH22_6x_0)</f>
        <v>75</v>
      </c>
      <c r="I75" s="2"/>
      <c r="J75" s="6">
        <f t="shared" si="13"/>
        <v>2.461922268907563E-4</v>
      </c>
      <c r="K75" s="2"/>
      <c r="L75" s="2">
        <f t="shared" si="14"/>
        <v>-75</v>
      </c>
      <c r="M75" s="2"/>
      <c r="N75" s="6">
        <f t="shared" si="15"/>
        <v>-1</v>
      </c>
      <c r="O75" s="14"/>
      <c r="P75" s="2">
        <f>SUM(OSRRefP22_6x_0)</f>
        <v>216.44</v>
      </c>
      <c r="Q75" s="2"/>
      <c r="R75" s="6">
        <f t="shared" si="16"/>
        <v>7.4111495060291138E-5</v>
      </c>
      <c r="S75" s="2"/>
      <c r="T75" s="2">
        <f>SUM(OSRRefT22_6x_0)</f>
        <v>600</v>
      </c>
      <c r="U75" s="2"/>
      <c r="V75" s="6">
        <f t="shared" si="17"/>
        <v>2.3314452512540262E-4</v>
      </c>
      <c r="W75" s="2"/>
      <c r="X75" s="2">
        <f t="shared" si="18"/>
        <v>-383.56</v>
      </c>
      <c r="Y75" s="2"/>
      <c r="Z75" s="6">
        <f t="shared" si="19"/>
        <v>-0.63926666666666665</v>
      </c>
    </row>
    <row r="76" spans="1:26" s="70" customFormat="1" ht="15" hidden="1" customHeight="1" outlineLevel="2" x14ac:dyDescent="0.3">
      <c r="A76" s="26"/>
      <c r="B76" s="12" t="str">
        <f>CONCATENATE("          ","6277"," - ","EMPLOYEE APPRECIATION")</f>
        <v xml:space="preserve">          6277 - EMPLOYEE APPRECIATION</v>
      </c>
      <c r="C76" s="12"/>
      <c r="D76" s="8"/>
      <c r="E76" s="3"/>
      <c r="F76" s="7">
        <f t="shared" ref="F76:F107" si="20">IF(D$12=0,0,D76/D$12)</f>
        <v>0</v>
      </c>
      <c r="G76" s="3"/>
      <c r="H76" s="8">
        <v>75</v>
      </c>
      <c r="I76" s="3"/>
      <c r="J76" s="7">
        <f t="shared" ref="J76:J107" si="21">IF(H$12=0,0,H76/H$12)</f>
        <v>2.461922268907563E-4</v>
      </c>
      <c r="K76" s="3"/>
      <c r="L76" s="8">
        <f t="shared" ref="L76:L107" si="22">+D76-H76</f>
        <v>-75</v>
      </c>
      <c r="M76" s="3"/>
      <c r="N76" s="7">
        <f t="shared" ref="N76:N107" si="23">IF(H76=0,0,L76/H76)</f>
        <v>-1</v>
      </c>
      <c r="O76" s="12"/>
      <c r="P76" s="8">
        <v>216.44</v>
      </c>
      <c r="Q76" s="3"/>
      <c r="R76" s="7">
        <f t="shared" ref="R76:R107" si="24">IF(P$12=0,0,P76/P$12)</f>
        <v>7.4111495060291138E-5</v>
      </c>
      <c r="S76" s="3"/>
      <c r="T76" s="8">
        <v>600</v>
      </c>
      <c r="U76" s="3"/>
      <c r="V76" s="7">
        <f t="shared" ref="V76:V107" si="25">IF(T$12=0,0,T76/T$12)</f>
        <v>2.3314452512540262E-4</v>
      </c>
      <c r="W76" s="3"/>
      <c r="X76" s="8">
        <f t="shared" ref="X76:X107" si="26">+P76-T76</f>
        <v>-383.56</v>
      </c>
      <c r="Y76" s="3"/>
      <c r="Z76" s="7">
        <f t="shared" ref="Z76:Z107" si="27">IF(T76=0,0,X76/T76)</f>
        <v>-0.63926666666666665</v>
      </c>
    </row>
    <row r="77" spans="1:26" s="69" customFormat="1" ht="15" customHeight="1" outlineLevel="1" collapsed="1" x14ac:dyDescent="0.3">
      <c r="A77" s="25"/>
      <c r="B77" s="14" t="str">
        <f>CONCATENATE("     ","Equipment Rental                                  ")</f>
        <v xml:space="preserve">     Equipment Rental                                  </v>
      </c>
      <c r="C77" s="14"/>
      <c r="D77" s="2">
        <f>SUM(OSRRefD22_7x_0)</f>
        <v>0</v>
      </c>
      <c r="E77" s="2"/>
      <c r="F77" s="6">
        <f t="shared" si="20"/>
        <v>0</v>
      </c>
      <c r="G77" s="2"/>
      <c r="H77" s="2">
        <f>SUM(OSRRefH22_7x_0)</f>
        <v>0</v>
      </c>
      <c r="I77" s="2"/>
      <c r="J77" s="6">
        <f t="shared" si="21"/>
        <v>0</v>
      </c>
      <c r="K77" s="2"/>
      <c r="L77" s="2">
        <f t="shared" si="22"/>
        <v>0</v>
      </c>
      <c r="M77" s="2"/>
      <c r="N77" s="6">
        <f t="shared" si="23"/>
        <v>0</v>
      </c>
      <c r="O77" s="14"/>
      <c r="P77" s="2">
        <f>SUM(OSRRefP22_7x_0)</f>
        <v>118.91</v>
      </c>
      <c r="Q77" s="2"/>
      <c r="R77" s="6">
        <f t="shared" si="24"/>
        <v>4.0716123995653386E-5</v>
      </c>
      <c r="S77" s="2"/>
      <c r="T77" s="2">
        <f>SUM(OSRRefT22_7x_0)</f>
        <v>0</v>
      </c>
      <c r="U77" s="2"/>
      <c r="V77" s="6">
        <f t="shared" si="25"/>
        <v>0</v>
      </c>
      <c r="W77" s="2"/>
      <c r="X77" s="2">
        <f t="shared" si="26"/>
        <v>118.91</v>
      </c>
      <c r="Y77" s="2"/>
      <c r="Z77" s="6">
        <f t="shared" si="27"/>
        <v>0</v>
      </c>
    </row>
    <row r="78" spans="1:26" s="70" customFormat="1" ht="15" hidden="1" customHeight="1" outlineLevel="2" x14ac:dyDescent="0.3">
      <c r="A78" s="26"/>
      <c r="B78" s="12" t="str">
        <f>CONCATENATE("          ","6351"," - ","EQUIPMENT RENTAL")</f>
        <v xml:space="preserve">          6351 - EQUIPMENT RENTAL</v>
      </c>
      <c r="C78" s="12"/>
      <c r="D78" s="8"/>
      <c r="E78" s="3"/>
      <c r="F78" s="7">
        <f t="shared" si="20"/>
        <v>0</v>
      </c>
      <c r="G78" s="3"/>
      <c r="H78" s="8"/>
      <c r="I78" s="3"/>
      <c r="J78" s="7">
        <f t="shared" si="21"/>
        <v>0</v>
      </c>
      <c r="K78" s="3"/>
      <c r="L78" s="8">
        <f t="shared" si="22"/>
        <v>0</v>
      </c>
      <c r="M78" s="3"/>
      <c r="N78" s="7">
        <f t="shared" si="23"/>
        <v>0</v>
      </c>
      <c r="O78" s="12"/>
      <c r="P78" s="8">
        <v>118.91</v>
      </c>
      <c r="Q78" s="3"/>
      <c r="R78" s="7">
        <f t="shared" si="24"/>
        <v>4.0716123995653386E-5</v>
      </c>
      <c r="S78" s="3"/>
      <c r="T78" s="8"/>
      <c r="U78" s="3"/>
      <c r="V78" s="7">
        <f t="shared" si="25"/>
        <v>0</v>
      </c>
      <c r="W78" s="3"/>
      <c r="X78" s="8">
        <f t="shared" si="26"/>
        <v>118.91</v>
      </c>
      <c r="Y78" s="3"/>
      <c r="Z78" s="7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","Freight out/Postage                               ")</f>
        <v xml:space="preserve">     Freight out/Postage                               </v>
      </c>
      <c r="C79" s="14"/>
      <c r="D79" s="2">
        <f>SUM(OSRRefD22_8x_0)</f>
        <v>0</v>
      </c>
      <c r="E79" s="2"/>
      <c r="F79" s="6">
        <f t="shared" si="20"/>
        <v>0</v>
      </c>
      <c r="G79" s="2"/>
      <c r="H79" s="2">
        <f>SUM(OSRRefH22_8x_0)</f>
        <v>50</v>
      </c>
      <c r="I79" s="2"/>
      <c r="J79" s="6">
        <f t="shared" si="21"/>
        <v>1.6412815126050421E-4</v>
      </c>
      <c r="K79" s="2"/>
      <c r="L79" s="2">
        <f t="shared" si="22"/>
        <v>-50</v>
      </c>
      <c r="M79" s="2"/>
      <c r="N79" s="6">
        <f t="shared" si="23"/>
        <v>-1</v>
      </c>
      <c r="O79" s="14"/>
      <c r="P79" s="2">
        <f>SUM(OSRRefP22_8x_0)</f>
        <v>983.79</v>
      </c>
      <c r="Q79" s="2"/>
      <c r="R79" s="6">
        <f t="shared" si="24"/>
        <v>3.3686078232010634E-4</v>
      </c>
      <c r="S79" s="2"/>
      <c r="T79" s="2">
        <f>SUM(OSRRefT22_8x_0)</f>
        <v>400</v>
      </c>
      <c r="U79" s="2"/>
      <c r="V79" s="6">
        <f t="shared" si="25"/>
        <v>1.5542968341693508E-4</v>
      </c>
      <c r="W79" s="2"/>
      <c r="X79" s="2">
        <f t="shared" si="26"/>
        <v>583.79</v>
      </c>
      <c r="Y79" s="2"/>
      <c r="Z79" s="6">
        <f t="shared" si="27"/>
        <v>1.4594749999999999</v>
      </c>
    </row>
    <row r="80" spans="1:26" s="70" customFormat="1" ht="15" hidden="1" customHeight="1" outlineLevel="2" x14ac:dyDescent="0.3">
      <c r="A80" s="26"/>
      <c r="B80" s="12" t="str">
        <f>CONCATENATE("          ","6305"," - ","FREIGHT OUT")</f>
        <v xml:space="preserve">          6305 - FREIGHT OUT</v>
      </c>
      <c r="C80" s="12"/>
      <c r="D80" s="8"/>
      <c r="E80" s="3"/>
      <c r="F80" s="7">
        <f t="shared" si="20"/>
        <v>0</v>
      </c>
      <c r="G80" s="3"/>
      <c r="H80" s="8">
        <v>50</v>
      </c>
      <c r="I80" s="3"/>
      <c r="J80" s="7">
        <f t="shared" si="21"/>
        <v>1.6412815126050421E-4</v>
      </c>
      <c r="K80" s="3"/>
      <c r="L80" s="8">
        <f t="shared" si="22"/>
        <v>-50</v>
      </c>
      <c r="M80" s="3"/>
      <c r="N80" s="7">
        <f t="shared" si="23"/>
        <v>-1</v>
      </c>
      <c r="O80" s="12"/>
      <c r="P80" s="8">
        <v>893.87</v>
      </c>
      <c r="Q80" s="3"/>
      <c r="R80" s="7">
        <f t="shared" si="24"/>
        <v>3.0607116101248583E-4</v>
      </c>
      <c r="S80" s="3"/>
      <c r="T80" s="8">
        <v>400</v>
      </c>
      <c r="U80" s="3"/>
      <c r="V80" s="7">
        <f t="shared" si="25"/>
        <v>1.5542968341693508E-4</v>
      </c>
      <c r="W80" s="3"/>
      <c r="X80" s="8">
        <f t="shared" si="26"/>
        <v>493.87</v>
      </c>
      <c r="Y80" s="3"/>
      <c r="Z80" s="7">
        <f t="shared" si="27"/>
        <v>1.234675</v>
      </c>
    </row>
    <row r="81" spans="1:26" s="70" customFormat="1" ht="15" hidden="1" customHeight="1" outlineLevel="2" x14ac:dyDescent="0.3">
      <c r="A81" s="26"/>
      <c r="B81" s="12" t="str">
        <f>CONCATENATE("          ","6307"," - ","POSTAGE")</f>
        <v xml:space="preserve">          6307 - POSTAGE</v>
      </c>
      <c r="C81" s="12"/>
      <c r="D81" s="8"/>
      <c r="E81" s="3"/>
      <c r="F81" s="7">
        <f t="shared" si="20"/>
        <v>0</v>
      </c>
      <c r="G81" s="3"/>
      <c r="H81" s="8"/>
      <c r="I81" s="3"/>
      <c r="J81" s="7">
        <f t="shared" si="21"/>
        <v>0</v>
      </c>
      <c r="K81" s="3"/>
      <c r="L81" s="8">
        <f t="shared" si="22"/>
        <v>0</v>
      </c>
      <c r="M81" s="3"/>
      <c r="N81" s="7">
        <f t="shared" si="23"/>
        <v>0</v>
      </c>
      <c r="O81" s="12"/>
      <c r="P81" s="8">
        <v>89.92</v>
      </c>
      <c r="Q81" s="3"/>
      <c r="R81" s="7">
        <f t="shared" si="24"/>
        <v>3.0789621307620491E-5</v>
      </c>
      <c r="S81" s="3"/>
      <c r="T81" s="8"/>
      <c r="U81" s="3"/>
      <c r="V81" s="7">
        <f t="shared" si="25"/>
        <v>0</v>
      </c>
      <c r="W81" s="3"/>
      <c r="X81" s="8">
        <f t="shared" si="26"/>
        <v>89.92</v>
      </c>
      <c r="Y81" s="3"/>
      <c r="Z81" s="7">
        <f t="shared" si="27"/>
        <v>0</v>
      </c>
    </row>
    <row r="82" spans="1:26" s="69" customFormat="1" ht="15" customHeight="1" outlineLevel="1" collapsed="1" x14ac:dyDescent="0.3">
      <c r="A82" s="25"/>
      <c r="B82" s="14" t="str">
        <f>CONCATENATE("     ","General                                           ")</f>
        <v xml:space="preserve">     General                                           </v>
      </c>
      <c r="C82" s="14"/>
      <c r="D82" s="2">
        <f>SUM(OSRRefD22_9x_0)</f>
        <v>1157.1099999999999</v>
      </c>
      <c r="E82" s="2"/>
      <c r="F82" s="6">
        <f t="shared" si="20"/>
        <v>2.0089432358905029E-3</v>
      </c>
      <c r="G82" s="2"/>
      <c r="H82" s="2">
        <f>SUM(OSRRefH22_9x_0)</f>
        <v>0</v>
      </c>
      <c r="I82" s="2"/>
      <c r="J82" s="6">
        <f t="shared" si="21"/>
        <v>0</v>
      </c>
      <c r="K82" s="2"/>
      <c r="L82" s="2">
        <f t="shared" si="22"/>
        <v>1157.1099999999999</v>
      </c>
      <c r="M82" s="2"/>
      <c r="N82" s="6">
        <f t="shared" si="23"/>
        <v>0</v>
      </c>
      <c r="O82" s="14"/>
      <c r="P82" s="2">
        <f>SUM(OSRRefP22_9x_0)</f>
        <v>2840.24</v>
      </c>
      <c r="Q82" s="2"/>
      <c r="R82" s="6">
        <f t="shared" si="24"/>
        <v>9.7253018263741115E-4</v>
      </c>
      <c r="S82" s="2"/>
      <c r="T82" s="2">
        <f>SUM(OSRRefT22_9x_0)</f>
        <v>1250</v>
      </c>
      <c r="U82" s="2"/>
      <c r="V82" s="6">
        <f t="shared" si="25"/>
        <v>4.8571776067792211E-4</v>
      </c>
      <c r="W82" s="2"/>
      <c r="X82" s="2">
        <f t="shared" si="26"/>
        <v>1590.2399999999998</v>
      </c>
      <c r="Y82" s="2"/>
      <c r="Z82" s="6">
        <f t="shared" si="27"/>
        <v>1.2721919999999998</v>
      </c>
    </row>
    <row r="83" spans="1:26" s="70" customFormat="1" ht="15" hidden="1" customHeight="1" outlineLevel="2" x14ac:dyDescent="0.3">
      <c r="A83" s="26"/>
      <c r="B83" s="12" t="str">
        <f>CONCATENATE("          ","6276"," - ","PROPERTY TAX")</f>
        <v xml:space="preserve">          6276 - PROPERTY TAX</v>
      </c>
      <c r="C83" s="12"/>
      <c r="D83" s="8"/>
      <c r="E83" s="3"/>
      <c r="F83" s="7">
        <f t="shared" si="20"/>
        <v>0</v>
      </c>
      <c r="G83" s="3"/>
      <c r="H83" s="8"/>
      <c r="I83" s="3"/>
      <c r="J83" s="7">
        <f t="shared" si="21"/>
        <v>0</v>
      </c>
      <c r="K83" s="3"/>
      <c r="L83" s="8">
        <f t="shared" si="22"/>
        <v>0</v>
      </c>
      <c r="M83" s="3"/>
      <c r="N83" s="7">
        <f t="shared" si="23"/>
        <v>0</v>
      </c>
      <c r="O83" s="12"/>
      <c r="P83" s="8"/>
      <c r="Q83" s="3"/>
      <c r="R83" s="7">
        <f t="shared" si="24"/>
        <v>0</v>
      </c>
      <c r="S83" s="3"/>
      <c r="T83" s="8">
        <v>1250</v>
      </c>
      <c r="U83" s="3"/>
      <c r="V83" s="7">
        <f t="shared" si="25"/>
        <v>4.8571776067792211E-4</v>
      </c>
      <c r="W83" s="3"/>
      <c r="X83" s="8">
        <f t="shared" si="26"/>
        <v>-1250</v>
      </c>
      <c r="Y83" s="3"/>
      <c r="Z83" s="7">
        <f t="shared" si="27"/>
        <v>-1</v>
      </c>
    </row>
    <row r="84" spans="1:26" s="70" customFormat="1" ht="15" hidden="1" customHeight="1" outlineLevel="2" x14ac:dyDescent="0.3">
      <c r="A84" s="26"/>
      <c r="B84" s="12" t="str">
        <f>CONCATENATE("          ","6279"," - ","GENERAL EXPENSE")</f>
        <v xml:space="preserve">          6279 - GENERAL EXPENSE</v>
      </c>
      <c r="C84" s="12"/>
      <c r="D84" s="8">
        <v>1157.1099999999999</v>
      </c>
      <c r="E84" s="3"/>
      <c r="F84" s="7">
        <f t="shared" si="20"/>
        <v>2.0089432358905029E-3</v>
      </c>
      <c r="G84" s="3"/>
      <c r="H84" s="8">
        <v>0</v>
      </c>
      <c r="I84" s="3"/>
      <c r="J84" s="7">
        <f t="shared" si="21"/>
        <v>0</v>
      </c>
      <c r="K84" s="3"/>
      <c r="L84" s="8">
        <f t="shared" si="22"/>
        <v>1157.1099999999999</v>
      </c>
      <c r="M84" s="3"/>
      <c r="N84" s="7">
        <f t="shared" si="23"/>
        <v>0</v>
      </c>
      <c r="O84" s="12"/>
      <c r="P84" s="8">
        <v>2840.24</v>
      </c>
      <c r="Q84" s="3"/>
      <c r="R84" s="7">
        <f t="shared" si="24"/>
        <v>9.7253018263741115E-4</v>
      </c>
      <c r="S84" s="3"/>
      <c r="T84" s="8">
        <v>0</v>
      </c>
      <c r="U84" s="3"/>
      <c r="V84" s="7">
        <f t="shared" si="25"/>
        <v>0</v>
      </c>
      <c r="W84" s="3"/>
      <c r="X84" s="8">
        <f t="shared" si="26"/>
        <v>2840.24</v>
      </c>
      <c r="Y84" s="3"/>
      <c r="Z84" s="7">
        <f t="shared" si="27"/>
        <v>0</v>
      </c>
    </row>
    <row r="85" spans="1:26" s="69" customFormat="1" ht="15" customHeight="1" outlineLevel="1" collapsed="1" x14ac:dyDescent="0.3">
      <c r="A85" s="25"/>
      <c r="B85" s="14" t="str">
        <f>CONCATENATE("     ","Insurance                                         ")</f>
        <v xml:space="preserve">     Insurance                                         </v>
      </c>
      <c r="C85" s="14"/>
      <c r="D85" s="2">
        <f>SUM(OSRRefD22_10x_0)</f>
        <v>219.08</v>
      </c>
      <c r="E85" s="2"/>
      <c r="F85" s="6">
        <f t="shared" si="20"/>
        <v>3.8036079898963058E-4</v>
      </c>
      <c r="G85" s="2"/>
      <c r="H85" s="2">
        <f>SUM(OSRRefH22_10x_0)</f>
        <v>175</v>
      </c>
      <c r="I85" s="2"/>
      <c r="J85" s="6">
        <f t="shared" si="21"/>
        <v>5.7444852941176473E-4</v>
      </c>
      <c r="K85" s="2"/>
      <c r="L85" s="2">
        <f t="shared" si="22"/>
        <v>44.080000000000013</v>
      </c>
      <c r="M85" s="2"/>
      <c r="N85" s="6">
        <f t="shared" si="23"/>
        <v>0.25188571428571438</v>
      </c>
      <c r="O85" s="14"/>
      <c r="P85" s="2">
        <f>SUM(OSRRefP22_10x_0)</f>
        <v>1752.64</v>
      </c>
      <c r="Q85" s="2"/>
      <c r="R85" s="6">
        <f t="shared" si="24"/>
        <v>6.0012368648340727E-4</v>
      </c>
      <c r="S85" s="2"/>
      <c r="T85" s="2">
        <f>SUM(OSRRefT22_10x_0)</f>
        <v>1400</v>
      </c>
      <c r="U85" s="2"/>
      <c r="V85" s="6">
        <f t="shared" si="25"/>
        <v>5.4400389195927276E-4</v>
      </c>
      <c r="W85" s="2"/>
      <c r="X85" s="2">
        <f t="shared" si="26"/>
        <v>352.6400000000001</v>
      </c>
      <c r="Y85" s="2"/>
      <c r="Z85" s="6">
        <f t="shared" si="27"/>
        <v>0.25188571428571438</v>
      </c>
    </row>
    <row r="86" spans="1:26" s="70" customFormat="1" ht="15" hidden="1" customHeight="1" outlineLevel="2" x14ac:dyDescent="0.3">
      <c r="A86" s="26"/>
      <c r="B86" s="12" t="str">
        <f>CONCATENATE("          ","6314"," - ","LIABILITY INSURANCE")</f>
        <v xml:space="preserve">          6314 - LIABILITY INSURANCE</v>
      </c>
      <c r="C86" s="12"/>
      <c r="D86" s="8">
        <v>219.08</v>
      </c>
      <c r="E86" s="3"/>
      <c r="F86" s="7">
        <f t="shared" si="20"/>
        <v>3.8036079898963058E-4</v>
      </c>
      <c r="G86" s="3"/>
      <c r="H86" s="8">
        <v>175</v>
      </c>
      <c r="I86" s="3"/>
      <c r="J86" s="7">
        <f t="shared" si="21"/>
        <v>5.7444852941176473E-4</v>
      </c>
      <c r="K86" s="3"/>
      <c r="L86" s="8">
        <f t="shared" si="22"/>
        <v>44.080000000000013</v>
      </c>
      <c r="M86" s="3"/>
      <c r="N86" s="7">
        <f t="shared" si="23"/>
        <v>0.25188571428571438</v>
      </c>
      <c r="O86" s="12"/>
      <c r="P86" s="8">
        <v>1752.64</v>
      </c>
      <c r="Q86" s="3"/>
      <c r="R86" s="7">
        <f t="shared" si="24"/>
        <v>6.0012368648340727E-4</v>
      </c>
      <c r="S86" s="3"/>
      <c r="T86" s="8">
        <v>1400</v>
      </c>
      <c r="U86" s="3"/>
      <c r="V86" s="7">
        <f t="shared" si="25"/>
        <v>5.4400389195927276E-4</v>
      </c>
      <c r="W86" s="3"/>
      <c r="X86" s="8">
        <f t="shared" si="26"/>
        <v>352.6400000000001</v>
      </c>
      <c r="Y86" s="3"/>
      <c r="Z86" s="7">
        <f t="shared" si="27"/>
        <v>0.25188571428571438</v>
      </c>
    </row>
    <row r="87" spans="1:26" s="69" customFormat="1" ht="15" customHeight="1" outlineLevel="1" collapsed="1" x14ac:dyDescent="0.3">
      <c r="A87" s="25"/>
      <c r="B87" s="14" t="str">
        <f>CONCATENATE("     ","Inventory Adjustment                              ")</f>
        <v xml:space="preserve">     Inventory Adjustment                              </v>
      </c>
      <c r="C87" s="14"/>
      <c r="D87" s="2">
        <f>SUM(OSRRefD22_11x_0)</f>
        <v>4100</v>
      </c>
      <c r="E87" s="2"/>
      <c r="F87" s="6">
        <f t="shared" si="20"/>
        <v>7.1183096396635259E-3</v>
      </c>
      <c r="G87" s="2"/>
      <c r="H87" s="2">
        <f>SUM(OSRRefH22_11x_0)</f>
        <v>4100</v>
      </c>
      <c r="I87" s="2"/>
      <c r="J87" s="6">
        <f t="shared" si="21"/>
        <v>1.3458508403361345E-2</v>
      </c>
      <c r="K87" s="2"/>
      <c r="L87" s="2">
        <f t="shared" si="22"/>
        <v>0</v>
      </c>
      <c r="M87" s="2"/>
      <c r="N87" s="6">
        <f t="shared" si="23"/>
        <v>0</v>
      </c>
      <c r="O87" s="14"/>
      <c r="P87" s="2">
        <f>SUM(OSRRefP22_11x_0)</f>
        <v>32800</v>
      </c>
      <c r="Q87" s="2"/>
      <c r="R87" s="6">
        <f t="shared" si="24"/>
        <v>1.1231089622886478E-2</v>
      </c>
      <c r="S87" s="2"/>
      <c r="T87" s="2">
        <f>SUM(OSRRefT22_11x_0)</f>
        <v>32800</v>
      </c>
      <c r="U87" s="2"/>
      <c r="V87" s="6">
        <f t="shared" si="25"/>
        <v>1.2745234040188676E-2</v>
      </c>
      <c r="W87" s="2"/>
      <c r="X87" s="2">
        <f t="shared" si="26"/>
        <v>0</v>
      </c>
      <c r="Y87" s="2"/>
      <c r="Z87" s="6">
        <f t="shared" si="27"/>
        <v>0</v>
      </c>
    </row>
    <row r="88" spans="1:26" s="70" customFormat="1" ht="15" hidden="1" customHeight="1" outlineLevel="2" x14ac:dyDescent="0.3">
      <c r="A88" s="26"/>
      <c r="B88" s="12" t="str">
        <f>CONCATENATE("          ","6408"," - ","INVENTORY ADJUSTMENT")</f>
        <v xml:space="preserve">          6408 - INVENTORY ADJUSTMENT</v>
      </c>
      <c r="C88" s="12"/>
      <c r="D88" s="8">
        <v>4100</v>
      </c>
      <c r="E88" s="3"/>
      <c r="F88" s="7">
        <f t="shared" si="20"/>
        <v>7.1183096396635259E-3</v>
      </c>
      <c r="G88" s="3"/>
      <c r="H88" s="8">
        <v>4100</v>
      </c>
      <c r="I88" s="3"/>
      <c r="J88" s="7">
        <f t="shared" si="21"/>
        <v>1.3458508403361345E-2</v>
      </c>
      <c r="K88" s="3"/>
      <c r="L88" s="8">
        <f t="shared" si="22"/>
        <v>0</v>
      </c>
      <c r="M88" s="3"/>
      <c r="N88" s="7">
        <f t="shared" si="23"/>
        <v>0</v>
      </c>
      <c r="O88" s="12"/>
      <c r="P88" s="8">
        <v>32800</v>
      </c>
      <c r="Q88" s="3"/>
      <c r="R88" s="7">
        <f t="shared" si="24"/>
        <v>1.1231089622886478E-2</v>
      </c>
      <c r="S88" s="3"/>
      <c r="T88" s="8">
        <v>32800</v>
      </c>
      <c r="U88" s="3"/>
      <c r="V88" s="7">
        <f t="shared" si="25"/>
        <v>1.2745234040188676E-2</v>
      </c>
      <c r="W88" s="3"/>
      <c r="X88" s="8">
        <f t="shared" si="26"/>
        <v>0</v>
      </c>
      <c r="Y88" s="3"/>
      <c r="Z88" s="7">
        <f t="shared" si="27"/>
        <v>0</v>
      </c>
    </row>
    <row r="89" spans="1:26" s="69" customFormat="1" ht="15" customHeight="1" outlineLevel="1" collapsed="1" x14ac:dyDescent="0.3">
      <c r="A89" s="25"/>
      <c r="B89" s="14" t="str">
        <f>CONCATENATE("     ","Professional Services                             ")</f>
        <v xml:space="preserve">     Professional Services                             </v>
      </c>
      <c r="C89" s="14"/>
      <c r="D89" s="2">
        <f>SUM(OSRRefD22_12x_0)</f>
        <v>390</v>
      </c>
      <c r="E89" s="2"/>
      <c r="F89" s="6">
        <f t="shared" si="20"/>
        <v>6.7710750230945741E-4</v>
      </c>
      <c r="G89" s="2"/>
      <c r="H89" s="2">
        <f>SUM(OSRRefH22_12x_0)</f>
        <v>0</v>
      </c>
      <c r="I89" s="2"/>
      <c r="J89" s="6">
        <f t="shared" si="21"/>
        <v>0</v>
      </c>
      <c r="K89" s="2"/>
      <c r="L89" s="2">
        <f t="shared" si="22"/>
        <v>390</v>
      </c>
      <c r="M89" s="2"/>
      <c r="N89" s="6">
        <f t="shared" si="23"/>
        <v>0</v>
      </c>
      <c r="O89" s="14"/>
      <c r="P89" s="2">
        <f>SUM(OSRRefP22_12x_0)</f>
        <v>1059.0999999999999</v>
      </c>
      <c r="Q89" s="2"/>
      <c r="R89" s="6">
        <f t="shared" si="24"/>
        <v>3.6264777498777644E-4</v>
      </c>
      <c r="S89" s="2"/>
      <c r="T89" s="2">
        <f>SUM(OSRRefT22_12x_0)</f>
        <v>1500</v>
      </c>
      <c r="U89" s="2"/>
      <c r="V89" s="6">
        <f t="shared" si="25"/>
        <v>5.8286131281350649E-4</v>
      </c>
      <c r="W89" s="2"/>
      <c r="X89" s="2">
        <f t="shared" si="26"/>
        <v>-440.90000000000009</v>
      </c>
      <c r="Y89" s="2"/>
      <c r="Z89" s="6">
        <f t="shared" si="27"/>
        <v>-0.29393333333333338</v>
      </c>
    </row>
    <row r="90" spans="1:26" s="70" customFormat="1" ht="15" hidden="1" customHeight="1" outlineLevel="2" x14ac:dyDescent="0.3">
      <c r="A90" s="26"/>
      <c r="B90" s="12" t="str">
        <f>CONCATENATE("          ","6336"," - ","PROFESSIONAL SERVICES")</f>
        <v xml:space="preserve">          6336 - PROFESSIONAL SERVICES</v>
      </c>
      <c r="C90" s="12"/>
      <c r="D90" s="8">
        <v>390</v>
      </c>
      <c r="E90" s="3"/>
      <c r="F90" s="7">
        <f t="shared" si="20"/>
        <v>6.7710750230945741E-4</v>
      </c>
      <c r="G90" s="3"/>
      <c r="H90" s="8">
        <v>0</v>
      </c>
      <c r="I90" s="3"/>
      <c r="J90" s="7">
        <f t="shared" si="21"/>
        <v>0</v>
      </c>
      <c r="K90" s="3"/>
      <c r="L90" s="8">
        <f t="shared" si="22"/>
        <v>390</v>
      </c>
      <c r="M90" s="3"/>
      <c r="N90" s="7">
        <f t="shared" si="23"/>
        <v>0</v>
      </c>
      <c r="O90" s="12"/>
      <c r="P90" s="8">
        <v>1059.0999999999999</v>
      </c>
      <c r="Q90" s="3"/>
      <c r="R90" s="7">
        <f t="shared" si="24"/>
        <v>3.6264777498777644E-4</v>
      </c>
      <c r="S90" s="3"/>
      <c r="T90" s="8">
        <v>1500</v>
      </c>
      <c r="U90" s="3"/>
      <c r="V90" s="7">
        <f t="shared" si="25"/>
        <v>5.8286131281350649E-4</v>
      </c>
      <c r="W90" s="3"/>
      <c r="X90" s="8">
        <f t="shared" si="26"/>
        <v>-440.90000000000009</v>
      </c>
      <c r="Y90" s="3"/>
      <c r="Z90" s="7">
        <f t="shared" si="27"/>
        <v>-0.29393333333333338</v>
      </c>
    </row>
    <row r="91" spans="1:26" s="69" customFormat="1" ht="15" customHeight="1" outlineLevel="1" collapsed="1" x14ac:dyDescent="0.3">
      <c r="A91" s="25"/>
      <c r="B91" s="14" t="str">
        <f>CONCATENATE("     ","Rent                                              ")</f>
        <v xml:space="preserve">     Rent                                              </v>
      </c>
      <c r="C91" s="14"/>
      <c r="D91" s="2">
        <f>SUM(OSRRefD22_13x_0)</f>
        <v>6900</v>
      </c>
      <c r="E91" s="2"/>
      <c r="F91" s="6">
        <f t="shared" si="20"/>
        <v>1.1979594271628861E-2</v>
      </c>
      <c r="G91" s="2"/>
      <c r="H91" s="2">
        <f>SUM(OSRRefH22_13x_0)</f>
        <v>6900</v>
      </c>
      <c r="I91" s="2"/>
      <c r="J91" s="6">
        <f t="shared" si="21"/>
        <v>2.2649684873949579E-2</v>
      </c>
      <c r="K91" s="2"/>
      <c r="L91" s="2">
        <f t="shared" si="22"/>
        <v>0</v>
      </c>
      <c r="M91" s="2"/>
      <c r="N91" s="6">
        <f t="shared" si="23"/>
        <v>0</v>
      </c>
      <c r="O91" s="14"/>
      <c r="P91" s="2">
        <f>SUM(OSRRefP22_13x_0)</f>
        <v>55200</v>
      </c>
      <c r="Q91" s="2"/>
      <c r="R91" s="6">
        <f t="shared" si="24"/>
        <v>1.8901102048272365E-2</v>
      </c>
      <c r="S91" s="2"/>
      <c r="T91" s="2">
        <f>SUM(OSRRefT22_13x_0)</f>
        <v>55200</v>
      </c>
      <c r="U91" s="2"/>
      <c r="V91" s="6">
        <f t="shared" si="25"/>
        <v>2.1449296311537039E-2</v>
      </c>
      <c r="W91" s="2"/>
      <c r="X91" s="2">
        <f t="shared" si="26"/>
        <v>0</v>
      </c>
      <c r="Y91" s="2"/>
      <c r="Z91" s="6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","6273"," - ","RENT")</f>
        <v xml:space="preserve">          6273 - RENT</v>
      </c>
      <c r="C92" s="12"/>
      <c r="D92" s="8">
        <v>6900</v>
      </c>
      <c r="E92" s="3"/>
      <c r="F92" s="7">
        <f t="shared" si="20"/>
        <v>1.1979594271628861E-2</v>
      </c>
      <c r="G92" s="3"/>
      <c r="H92" s="8">
        <v>6900</v>
      </c>
      <c r="I92" s="3"/>
      <c r="J92" s="7">
        <f t="shared" si="21"/>
        <v>2.2649684873949579E-2</v>
      </c>
      <c r="K92" s="3"/>
      <c r="L92" s="8">
        <f t="shared" si="22"/>
        <v>0</v>
      </c>
      <c r="M92" s="3"/>
      <c r="N92" s="7">
        <f t="shared" si="23"/>
        <v>0</v>
      </c>
      <c r="O92" s="12"/>
      <c r="P92" s="8">
        <v>55200</v>
      </c>
      <c r="Q92" s="3"/>
      <c r="R92" s="7">
        <f t="shared" si="24"/>
        <v>1.8901102048272365E-2</v>
      </c>
      <c r="S92" s="3"/>
      <c r="T92" s="8">
        <v>55200</v>
      </c>
      <c r="U92" s="3"/>
      <c r="V92" s="7">
        <f t="shared" si="25"/>
        <v>2.1449296311537039E-2</v>
      </c>
      <c r="W92" s="3"/>
      <c r="X92" s="8">
        <f t="shared" si="26"/>
        <v>0</v>
      </c>
      <c r="Y92" s="3"/>
      <c r="Z92" s="7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","Repair and Maintenance                            ")</f>
        <v xml:space="preserve">     Repair and Maintenance                            </v>
      </c>
      <c r="C93" s="14"/>
      <c r="D93" s="2">
        <f>SUM(OSRRefD22_14x_0)</f>
        <v>20.29</v>
      </c>
      <c r="E93" s="2"/>
      <c r="F93" s="6">
        <f t="shared" si="20"/>
        <v>3.5226951850920231E-5</v>
      </c>
      <c r="G93" s="2"/>
      <c r="H93" s="2">
        <f>SUM(OSRRefH22_14x_0)</f>
        <v>115</v>
      </c>
      <c r="I93" s="2"/>
      <c r="J93" s="6">
        <f t="shared" si="21"/>
        <v>3.7749474789915968E-4</v>
      </c>
      <c r="K93" s="2"/>
      <c r="L93" s="2">
        <f t="shared" si="22"/>
        <v>-94.710000000000008</v>
      </c>
      <c r="M93" s="2"/>
      <c r="N93" s="6">
        <f t="shared" si="23"/>
        <v>-0.82356521739130439</v>
      </c>
      <c r="O93" s="14"/>
      <c r="P93" s="2">
        <f>SUM(OSRRefP22_14x_0)</f>
        <v>3374.6099999999997</v>
      </c>
      <c r="Q93" s="2"/>
      <c r="R93" s="6">
        <f t="shared" si="24"/>
        <v>1.1555044924478333E-3</v>
      </c>
      <c r="S93" s="2"/>
      <c r="T93" s="2">
        <f>SUM(OSRRefT22_14x_0)</f>
        <v>1420</v>
      </c>
      <c r="U93" s="2"/>
      <c r="V93" s="6">
        <f t="shared" si="25"/>
        <v>5.5177537613011946E-4</v>
      </c>
      <c r="W93" s="2"/>
      <c r="X93" s="2">
        <f t="shared" si="26"/>
        <v>1954.6099999999997</v>
      </c>
      <c r="Y93" s="2"/>
      <c r="Z93" s="6">
        <f t="shared" si="27"/>
        <v>1.3764859154929576</v>
      </c>
    </row>
    <row r="94" spans="1:26" s="70" customFormat="1" ht="15" hidden="1" customHeight="1" outlineLevel="2" x14ac:dyDescent="0.3">
      <c r="A94" s="26"/>
      <c r="B94" s="12" t="str">
        <f>CONCATENATE("          ","6373"," - ","MAINTENANCE CONTRACTS")</f>
        <v xml:space="preserve">          6373 - MAINTENANCE CONTRACTS</v>
      </c>
      <c r="C94" s="12"/>
      <c r="D94" s="8">
        <v>12.04</v>
      </c>
      <c r="E94" s="3"/>
      <c r="F94" s="7">
        <f t="shared" si="20"/>
        <v>2.090352391745094E-5</v>
      </c>
      <c r="G94" s="3"/>
      <c r="H94" s="8">
        <v>115</v>
      </c>
      <c r="I94" s="3"/>
      <c r="J94" s="7">
        <f t="shared" si="21"/>
        <v>3.7749474789915968E-4</v>
      </c>
      <c r="K94" s="3"/>
      <c r="L94" s="8">
        <f t="shared" si="22"/>
        <v>-102.96000000000001</v>
      </c>
      <c r="M94" s="3"/>
      <c r="N94" s="7">
        <f t="shared" si="23"/>
        <v>-0.89530434782608703</v>
      </c>
      <c r="O94" s="12"/>
      <c r="P94" s="8">
        <v>681.74</v>
      </c>
      <c r="Q94" s="3"/>
      <c r="R94" s="7">
        <f t="shared" si="24"/>
        <v>2.334354585215435E-4</v>
      </c>
      <c r="S94" s="3"/>
      <c r="T94" s="8">
        <v>920</v>
      </c>
      <c r="U94" s="3"/>
      <c r="V94" s="7">
        <f t="shared" si="25"/>
        <v>3.5748827185895065E-4</v>
      </c>
      <c r="W94" s="3"/>
      <c r="X94" s="8">
        <f t="shared" si="26"/>
        <v>-238.26</v>
      </c>
      <c r="Y94" s="3"/>
      <c r="Z94" s="7">
        <f t="shared" si="27"/>
        <v>-0.25897826086956521</v>
      </c>
    </row>
    <row r="95" spans="1:26" s="70" customFormat="1" ht="15" hidden="1" customHeight="1" outlineLevel="2" x14ac:dyDescent="0.3">
      <c r="A95" s="26"/>
      <c r="B95" s="12" t="str">
        <f>CONCATENATE("          ","6375"," - ","OUTSIDE REPAIRS &amp; MAINTENANCE")</f>
        <v xml:space="preserve">          6375 - OUTSIDE REPAIRS &amp; MAINTENANCE</v>
      </c>
      <c r="C95" s="12"/>
      <c r="D95" s="8">
        <v>8.25</v>
      </c>
      <c r="E95" s="3"/>
      <c r="F95" s="7">
        <f t="shared" si="20"/>
        <v>1.432342793346929E-5</v>
      </c>
      <c r="G95" s="3"/>
      <c r="H95" s="8">
        <v>0</v>
      </c>
      <c r="I95" s="3"/>
      <c r="J95" s="7">
        <f t="shared" si="21"/>
        <v>0</v>
      </c>
      <c r="K95" s="3"/>
      <c r="L95" s="8">
        <f t="shared" si="22"/>
        <v>8.25</v>
      </c>
      <c r="M95" s="3"/>
      <c r="N95" s="7">
        <f t="shared" si="23"/>
        <v>0</v>
      </c>
      <c r="O95" s="12"/>
      <c r="P95" s="8">
        <v>2692.87</v>
      </c>
      <c r="Q95" s="3"/>
      <c r="R95" s="7">
        <f t="shared" si="24"/>
        <v>9.2206903392628981E-4</v>
      </c>
      <c r="S95" s="3"/>
      <c r="T95" s="8">
        <v>500</v>
      </c>
      <c r="U95" s="3"/>
      <c r="V95" s="7">
        <f t="shared" si="25"/>
        <v>1.9428710427116884E-4</v>
      </c>
      <c r="W95" s="3"/>
      <c r="X95" s="8">
        <f t="shared" si="26"/>
        <v>2192.87</v>
      </c>
      <c r="Y95" s="3"/>
      <c r="Z95" s="7">
        <f t="shared" si="27"/>
        <v>4.3857400000000002</v>
      </c>
    </row>
    <row r="96" spans="1:26" s="69" customFormat="1" ht="15" customHeight="1" outlineLevel="1" collapsed="1" x14ac:dyDescent="0.3">
      <c r="A96" s="25"/>
      <c r="B96" s="14" t="str">
        <f>CONCATENATE("     ","Royalty &amp; Commissions                             ")</f>
        <v xml:space="preserve">     Royalty &amp; Commissions                             </v>
      </c>
      <c r="C96" s="14"/>
      <c r="D96" s="2">
        <f>SUM(OSRRefD22_15x_0)</f>
        <v>3147.46</v>
      </c>
      <c r="E96" s="2"/>
      <c r="F96" s="6">
        <f t="shared" si="20"/>
        <v>5.4645353313305762E-3</v>
      </c>
      <c r="G96" s="2"/>
      <c r="H96" s="2">
        <f>SUM(OSRRefH22_15x_0)</f>
        <v>1446</v>
      </c>
      <c r="I96" s="2"/>
      <c r="J96" s="6">
        <f t="shared" si="21"/>
        <v>4.7465861344537811E-3</v>
      </c>
      <c r="K96" s="2"/>
      <c r="L96" s="2">
        <f t="shared" si="22"/>
        <v>1701.46</v>
      </c>
      <c r="M96" s="2"/>
      <c r="N96" s="6">
        <f t="shared" si="23"/>
        <v>1.1766666666666667</v>
      </c>
      <c r="O96" s="14"/>
      <c r="P96" s="2">
        <f>SUM(OSRRefP22_15x_0)</f>
        <v>42730.310000000005</v>
      </c>
      <c r="Q96" s="2"/>
      <c r="R96" s="6">
        <f t="shared" si="24"/>
        <v>1.4631339671454949E-2</v>
      </c>
      <c r="S96" s="2"/>
      <c r="T96" s="2">
        <f>SUM(OSRRefT22_15x_0)</f>
        <v>36944</v>
      </c>
      <c r="U96" s="2"/>
      <c r="V96" s="6">
        <f t="shared" si="25"/>
        <v>1.4355485560388124E-2</v>
      </c>
      <c r="W96" s="2"/>
      <c r="X96" s="2">
        <f t="shared" si="26"/>
        <v>5786.3100000000049</v>
      </c>
      <c r="Y96" s="2"/>
      <c r="Z96" s="6">
        <f t="shared" si="27"/>
        <v>0.15662380900822881</v>
      </c>
    </row>
    <row r="97" spans="1:26" s="70" customFormat="1" ht="15" hidden="1" customHeight="1" outlineLevel="2" x14ac:dyDescent="0.3">
      <c r="A97" s="26"/>
      <c r="B97" s="12" t="str">
        <f>CONCATENATE("          ","6252"," - ","ROYALTY DUE CSTV")</f>
        <v xml:space="preserve">          6252 - ROYALTY DUE CSTV</v>
      </c>
      <c r="C97" s="12"/>
      <c r="D97" s="8"/>
      <c r="E97" s="3"/>
      <c r="F97" s="7">
        <f t="shared" si="20"/>
        <v>0</v>
      </c>
      <c r="G97" s="3"/>
      <c r="H97" s="8">
        <v>446</v>
      </c>
      <c r="I97" s="3"/>
      <c r="J97" s="7">
        <f t="shared" si="21"/>
        <v>1.4640231092436975E-3</v>
      </c>
      <c r="K97" s="3"/>
      <c r="L97" s="8">
        <f t="shared" si="22"/>
        <v>-446</v>
      </c>
      <c r="M97" s="3"/>
      <c r="N97" s="7">
        <f t="shared" si="23"/>
        <v>-1</v>
      </c>
      <c r="O97" s="12"/>
      <c r="P97" s="8"/>
      <c r="Q97" s="3"/>
      <c r="R97" s="7">
        <f t="shared" si="24"/>
        <v>0</v>
      </c>
      <c r="S97" s="3"/>
      <c r="T97" s="8">
        <v>11497</v>
      </c>
      <c r="U97" s="3"/>
      <c r="V97" s="7">
        <f t="shared" si="25"/>
        <v>4.4674376756112565E-3</v>
      </c>
      <c r="W97" s="3"/>
      <c r="X97" s="8">
        <f t="shared" si="26"/>
        <v>-11497</v>
      </c>
      <c r="Y97" s="3"/>
      <c r="Z97" s="7">
        <f t="shared" si="27"/>
        <v>-1</v>
      </c>
    </row>
    <row r="98" spans="1:26" s="70" customFormat="1" ht="15" hidden="1" customHeight="1" outlineLevel="2" x14ac:dyDescent="0.3">
      <c r="A98" s="26"/>
      <c r="B98" s="12" t="str">
        <f>CONCATENATE("          ","6253"," - ","ROYALTY DUE ATHLETICS-LRG")</f>
        <v xml:space="preserve">          6253 - ROYALTY DUE ATHLETICS-LRG</v>
      </c>
      <c r="C98" s="12"/>
      <c r="D98" s="8"/>
      <c r="E98" s="3"/>
      <c r="F98" s="7">
        <f t="shared" si="20"/>
        <v>0</v>
      </c>
      <c r="G98" s="3"/>
      <c r="H98" s="8">
        <v>0</v>
      </c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>
        <v>39221.160000000003</v>
      </c>
      <c r="Q98" s="3"/>
      <c r="R98" s="7">
        <f t="shared" si="24"/>
        <v>1.3429767166877141E-2</v>
      </c>
      <c r="S98" s="3"/>
      <c r="T98" s="8">
        <v>23947</v>
      </c>
      <c r="U98" s="3"/>
      <c r="V98" s="7">
        <f t="shared" si="25"/>
        <v>9.3051865719633604E-3</v>
      </c>
      <c r="W98" s="3"/>
      <c r="X98" s="8">
        <f t="shared" si="26"/>
        <v>15274.160000000003</v>
      </c>
      <c r="Y98" s="3"/>
      <c r="Z98" s="7">
        <f t="shared" si="27"/>
        <v>0.63783187873220037</v>
      </c>
    </row>
    <row r="99" spans="1:26" s="70" customFormat="1" ht="15" hidden="1" customHeight="1" outlineLevel="2" x14ac:dyDescent="0.3">
      <c r="A99" s="26"/>
      <c r="B99" s="12" t="str">
        <f>CONCATENATE("          ","6254"," - ","ROYALTY &amp; COMMISSIONS")</f>
        <v xml:space="preserve">          6254 - ROYALTY &amp; COMMISSIONS</v>
      </c>
      <c r="C99" s="12"/>
      <c r="D99" s="8">
        <v>3147.46</v>
      </c>
      <c r="E99" s="3"/>
      <c r="F99" s="7">
        <f t="shared" si="20"/>
        <v>5.4645353313305762E-3</v>
      </c>
      <c r="G99" s="3"/>
      <c r="H99" s="8">
        <v>1000</v>
      </c>
      <c r="I99" s="3"/>
      <c r="J99" s="7">
        <f t="shared" si="21"/>
        <v>3.2825630252100841E-3</v>
      </c>
      <c r="K99" s="3"/>
      <c r="L99" s="8">
        <f t="shared" si="22"/>
        <v>2147.46</v>
      </c>
      <c r="M99" s="3"/>
      <c r="N99" s="7">
        <f t="shared" si="23"/>
        <v>2.1474600000000001</v>
      </c>
      <c r="O99" s="12"/>
      <c r="P99" s="8">
        <v>3509.15</v>
      </c>
      <c r="Q99" s="3"/>
      <c r="R99" s="7">
        <f t="shared" si="24"/>
        <v>1.2015725045778074E-3</v>
      </c>
      <c r="S99" s="3"/>
      <c r="T99" s="8">
        <v>1500</v>
      </c>
      <c r="U99" s="3"/>
      <c r="V99" s="7">
        <f t="shared" si="25"/>
        <v>5.8286131281350649E-4</v>
      </c>
      <c r="W99" s="3"/>
      <c r="X99" s="8">
        <f t="shared" si="26"/>
        <v>2009.15</v>
      </c>
      <c r="Y99" s="3"/>
      <c r="Z99" s="7">
        <f t="shared" si="27"/>
        <v>1.3394333333333335</v>
      </c>
    </row>
    <row r="100" spans="1:26" s="69" customFormat="1" ht="15" customHeight="1" outlineLevel="1" collapsed="1" x14ac:dyDescent="0.3">
      <c r="A100" s="25"/>
      <c r="B100" s="14" t="str">
        <f>CONCATENATE("     ","Services                                          ")</f>
        <v xml:space="preserve">     Services                                          </v>
      </c>
      <c r="C100" s="14"/>
      <c r="D100" s="2">
        <f>SUM(OSRRefD22_16x_0)</f>
        <v>428.26</v>
      </c>
      <c r="E100" s="2"/>
      <c r="F100" s="6">
        <f t="shared" si="20"/>
        <v>7.4353348445909794E-4</v>
      </c>
      <c r="G100" s="2"/>
      <c r="H100" s="2">
        <f>SUM(OSRRefH22_16x_0)</f>
        <v>60</v>
      </c>
      <c r="I100" s="2"/>
      <c r="J100" s="6">
        <f t="shared" si="21"/>
        <v>1.9695378151260505E-4</v>
      </c>
      <c r="K100" s="2"/>
      <c r="L100" s="2">
        <f t="shared" si="22"/>
        <v>368.26</v>
      </c>
      <c r="M100" s="2"/>
      <c r="N100" s="6">
        <f t="shared" si="23"/>
        <v>6.1376666666666662</v>
      </c>
      <c r="O100" s="14"/>
      <c r="P100" s="2">
        <f>SUM(OSRRefP22_16x_0)</f>
        <v>5285.39</v>
      </c>
      <c r="Q100" s="2"/>
      <c r="R100" s="6">
        <f t="shared" si="24"/>
        <v>1.8097770970093891E-3</v>
      </c>
      <c r="S100" s="2"/>
      <c r="T100" s="2">
        <f>SUM(OSRRefT22_16x_0)</f>
        <v>600</v>
      </c>
      <c r="U100" s="2"/>
      <c r="V100" s="6">
        <f t="shared" si="25"/>
        <v>2.3314452512540262E-4</v>
      </c>
      <c r="W100" s="2"/>
      <c r="X100" s="2">
        <f t="shared" si="26"/>
        <v>4685.3900000000003</v>
      </c>
      <c r="Y100" s="2"/>
      <c r="Z100" s="6">
        <f t="shared" si="27"/>
        <v>7.8089833333333338</v>
      </c>
    </row>
    <row r="101" spans="1:26" s="70" customFormat="1" ht="15" hidden="1" customHeight="1" outlineLevel="2" x14ac:dyDescent="0.3">
      <c r="A101" s="26"/>
      <c r="B101" s="12" t="str">
        <f>CONCATENATE("          ","6282"," - ","JANITORIAL/EXTERMINATOR EXPENS")</f>
        <v xml:space="preserve">          6282 - JANITORIAL/EXTERMINATOR EXPENS</v>
      </c>
      <c r="C101" s="12"/>
      <c r="D101" s="8">
        <v>69</v>
      </c>
      <c r="E101" s="3"/>
      <c r="F101" s="7">
        <f t="shared" si="20"/>
        <v>1.1979594271628861E-4</v>
      </c>
      <c r="G101" s="3"/>
      <c r="H101" s="8"/>
      <c r="I101" s="3"/>
      <c r="J101" s="7">
        <f t="shared" si="21"/>
        <v>0</v>
      </c>
      <c r="K101" s="3"/>
      <c r="L101" s="8">
        <f t="shared" si="22"/>
        <v>69</v>
      </c>
      <c r="M101" s="3"/>
      <c r="N101" s="7">
        <f t="shared" si="23"/>
        <v>0</v>
      </c>
      <c r="O101" s="12"/>
      <c r="P101" s="8">
        <v>767.6</v>
      </c>
      <c r="Q101" s="3"/>
      <c r="R101" s="7">
        <f t="shared" si="24"/>
        <v>2.6283489007706282E-4</v>
      </c>
      <c r="S101" s="3"/>
      <c r="T101" s="8"/>
      <c r="U101" s="3"/>
      <c r="V101" s="7">
        <f t="shared" si="25"/>
        <v>0</v>
      </c>
      <c r="W101" s="3"/>
      <c r="X101" s="8">
        <f t="shared" si="26"/>
        <v>767.6</v>
      </c>
      <c r="Y101" s="3"/>
      <c r="Z101" s="7">
        <f t="shared" si="27"/>
        <v>0</v>
      </c>
    </row>
    <row r="102" spans="1:26" s="70" customFormat="1" ht="15" hidden="1" customHeight="1" outlineLevel="2" x14ac:dyDescent="0.3">
      <c r="A102" s="26"/>
      <c r="B102" s="12" t="str">
        <f>CONCATENATE("          ","6284"," - ","TRASH REMOVAL EXPENSE")</f>
        <v xml:space="preserve">          6284 - TRASH REMOVAL EXPENSE</v>
      </c>
      <c r="C102" s="12"/>
      <c r="D102" s="8">
        <v>149.69999999999999</v>
      </c>
      <c r="E102" s="3"/>
      <c r="F102" s="7">
        <f t="shared" si="20"/>
        <v>2.5990511050186092E-4</v>
      </c>
      <c r="G102" s="3"/>
      <c r="H102" s="8">
        <v>60</v>
      </c>
      <c r="I102" s="3"/>
      <c r="J102" s="7">
        <f t="shared" si="21"/>
        <v>1.9695378151260505E-4</v>
      </c>
      <c r="K102" s="3"/>
      <c r="L102" s="8">
        <f t="shared" si="22"/>
        <v>89.699999999999989</v>
      </c>
      <c r="M102" s="3"/>
      <c r="N102" s="7">
        <f t="shared" si="23"/>
        <v>1.4949999999999999</v>
      </c>
      <c r="O102" s="12"/>
      <c r="P102" s="8">
        <v>1190.47</v>
      </c>
      <c r="Q102" s="3"/>
      <c r="R102" s="7">
        <f t="shared" si="24"/>
        <v>4.0763034339505076E-4</v>
      </c>
      <c r="S102" s="3"/>
      <c r="T102" s="8">
        <v>600</v>
      </c>
      <c r="U102" s="3"/>
      <c r="V102" s="7">
        <f t="shared" si="25"/>
        <v>2.3314452512540262E-4</v>
      </c>
      <c r="W102" s="3"/>
      <c r="X102" s="8">
        <f t="shared" si="26"/>
        <v>590.47</v>
      </c>
      <c r="Y102" s="3"/>
      <c r="Z102" s="7">
        <f t="shared" si="27"/>
        <v>0.98411666666666675</v>
      </c>
    </row>
    <row r="103" spans="1:26" s="70" customFormat="1" ht="15" hidden="1" customHeight="1" outlineLevel="2" x14ac:dyDescent="0.3">
      <c r="A103" s="26"/>
      <c r="B103" s="12" t="str">
        <f>CONCATENATE("          ","6285"," - ","JANITORIAL SERVICES")</f>
        <v xml:space="preserve">          6285 - JANITORIAL SERVICES</v>
      </c>
      <c r="C103" s="12"/>
      <c r="D103" s="8">
        <v>209.56</v>
      </c>
      <c r="E103" s="3"/>
      <c r="F103" s="7">
        <f t="shared" si="20"/>
        <v>3.6383243124094841E-4</v>
      </c>
      <c r="G103" s="3"/>
      <c r="H103" s="8"/>
      <c r="I103" s="3"/>
      <c r="J103" s="7">
        <f t="shared" si="21"/>
        <v>0</v>
      </c>
      <c r="K103" s="3"/>
      <c r="L103" s="8">
        <f t="shared" si="22"/>
        <v>209.56</v>
      </c>
      <c r="M103" s="3"/>
      <c r="N103" s="7">
        <f t="shared" si="23"/>
        <v>0</v>
      </c>
      <c r="O103" s="12"/>
      <c r="P103" s="8">
        <v>3327.32</v>
      </c>
      <c r="Q103" s="3"/>
      <c r="R103" s="7">
        <f t="shared" si="24"/>
        <v>1.1393118635372756E-3</v>
      </c>
      <c r="S103" s="3"/>
      <c r="T103" s="8"/>
      <c r="U103" s="3"/>
      <c r="V103" s="7">
        <f t="shared" si="25"/>
        <v>0</v>
      </c>
      <c r="W103" s="3"/>
      <c r="X103" s="8">
        <f t="shared" si="26"/>
        <v>3327.32</v>
      </c>
      <c r="Y103" s="3"/>
      <c r="Z103" s="7">
        <f t="shared" si="27"/>
        <v>0</v>
      </c>
    </row>
    <row r="104" spans="1:26" s="69" customFormat="1" ht="15" customHeight="1" outlineLevel="1" collapsed="1" x14ac:dyDescent="0.3">
      <c r="A104" s="25"/>
      <c r="B104" s="14" t="str">
        <f>CONCATENATE("     ","Subscriptions &amp; Dues                              ")</f>
        <v xml:space="preserve">     Subscriptions &amp; Dues                              </v>
      </c>
      <c r="C104" s="14"/>
      <c r="D104" s="2">
        <f>SUM(OSRRefD22_17x_0)</f>
        <v>45.27</v>
      </c>
      <c r="E104" s="2"/>
      <c r="F104" s="6">
        <f t="shared" si="20"/>
        <v>7.8596555460382406E-5</v>
      </c>
      <c r="G104" s="2"/>
      <c r="H104" s="2">
        <f>SUM(OSRRefH22_17x_0)</f>
        <v>161</v>
      </c>
      <c r="I104" s="2"/>
      <c r="J104" s="6">
        <f t="shared" si="21"/>
        <v>5.2849264705882349E-4</v>
      </c>
      <c r="K104" s="2"/>
      <c r="L104" s="2">
        <f t="shared" si="22"/>
        <v>-115.72999999999999</v>
      </c>
      <c r="M104" s="2"/>
      <c r="N104" s="6">
        <f t="shared" si="23"/>
        <v>-0.7188198757763975</v>
      </c>
      <c r="O104" s="14"/>
      <c r="P104" s="2">
        <f>SUM(OSRRefP22_17x_0)</f>
        <v>45.27</v>
      </c>
      <c r="Q104" s="2"/>
      <c r="R104" s="6">
        <f t="shared" si="24"/>
        <v>1.5500958147197282E-5</v>
      </c>
      <c r="S104" s="2"/>
      <c r="T104" s="2">
        <f>SUM(OSRRefT22_17x_0)</f>
        <v>2163</v>
      </c>
      <c r="U104" s="2"/>
      <c r="V104" s="6">
        <f t="shared" si="25"/>
        <v>8.4048601307707641E-4</v>
      </c>
      <c r="W104" s="2"/>
      <c r="X104" s="2">
        <f t="shared" si="26"/>
        <v>-2117.73</v>
      </c>
      <c r="Y104" s="2"/>
      <c r="Z104" s="6">
        <f t="shared" si="27"/>
        <v>-0.97907073509015252</v>
      </c>
    </row>
    <row r="105" spans="1:26" s="70" customFormat="1" ht="15" hidden="1" customHeight="1" outlineLevel="2" x14ac:dyDescent="0.3">
      <c r="A105" s="26"/>
      <c r="B105" s="12" t="str">
        <f>CONCATENATE("          ","6258"," - ","MEMBERSHIP DUES")</f>
        <v xml:space="preserve">          6258 - MEMBERSHIP DUES</v>
      </c>
      <c r="C105" s="12"/>
      <c r="D105" s="8">
        <v>45.27</v>
      </c>
      <c r="E105" s="3"/>
      <c r="F105" s="7">
        <f t="shared" si="20"/>
        <v>7.8596555460382406E-5</v>
      </c>
      <c r="G105" s="3"/>
      <c r="H105" s="8">
        <v>0</v>
      </c>
      <c r="I105" s="3"/>
      <c r="J105" s="7">
        <f t="shared" si="21"/>
        <v>0</v>
      </c>
      <c r="K105" s="3"/>
      <c r="L105" s="8">
        <f t="shared" si="22"/>
        <v>45.27</v>
      </c>
      <c r="M105" s="3"/>
      <c r="N105" s="7">
        <f t="shared" si="23"/>
        <v>0</v>
      </c>
      <c r="O105" s="12"/>
      <c r="P105" s="8">
        <v>45.27</v>
      </c>
      <c r="Q105" s="3"/>
      <c r="R105" s="7">
        <f t="shared" si="24"/>
        <v>1.5500958147197282E-5</v>
      </c>
      <c r="S105" s="3"/>
      <c r="T105" s="8">
        <v>1395</v>
      </c>
      <c r="U105" s="3"/>
      <c r="V105" s="7">
        <f t="shared" si="25"/>
        <v>5.4206102091656106E-4</v>
      </c>
      <c r="W105" s="3"/>
      <c r="X105" s="8">
        <f t="shared" si="26"/>
        <v>-1349.73</v>
      </c>
      <c r="Y105" s="3"/>
      <c r="Z105" s="7">
        <f t="shared" si="27"/>
        <v>-0.96754838709677415</v>
      </c>
    </row>
    <row r="106" spans="1:26" s="70" customFormat="1" ht="15" hidden="1" customHeight="1" outlineLevel="2" x14ac:dyDescent="0.3">
      <c r="A106" s="26"/>
      <c r="B106" s="12" t="str">
        <f>CONCATENATE("          ","6275"," - ","SUBSCRIPTIONS")</f>
        <v xml:space="preserve">          6275 - SUBSCRIPTIONS</v>
      </c>
      <c r="C106" s="12"/>
      <c r="D106" s="8"/>
      <c r="E106" s="3"/>
      <c r="F106" s="7">
        <f t="shared" si="20"/>
        <v>0</v>
      </c>
      <c r="G106" s="3"/>
      <c r="H106" s="8">
        <v>161</v>
      </c>
      <c r="I106" s="3"/>
      <c r="J106" s="7">
        <f t="shared" si="21"/>
        <v>5.2849264705882349E-4</v>
      </c>
      <c r="K106" s="3"/>
      <c r="L106" s="8">
        <f t="shared" si="22"/>
        <v>-161</v>
      </c>
      <c r="M106" s="3"/>
      <c r="N106" s="7">
        <f t="shared" si="23"/>
        <v>-1</v>
      </c>
      <c r="O106" s="12"/>
      <c r="P106" s="8"/>
      <c r="Q106" s="3"/>
      <c r="R106" s="7">
        <f t="shared" si="24"/>
        <v>0</v>
      </c>
      <c r="S106" s="3"/>
      <c r="T106" s="8">
        <v>768</v>
      </c>
      <c r="U106" s="3"/>
      <c r="V106" s="7">
        <f t="shared" si="25"/>
        <v>2.9842499216051535E-4</v>
      </c>
      <c r="W106" s="3"/>
      <c r="X106" s="8">
        <f t="shared" si="26"/>
        <v>-768</v>
      </c>
      <c r="Y106" s="3"/>
      <c r="Z106" s="7">
        <f t="shared" si="27"/>
        <v>-1</v>
      </c>
    </row>
    <row r="107" spans="1:26" s="69" customFormat="1" ht="15" customHeight="1" outlineLevel="1" collapsed="1" x14ac:dyDescent="0.3">
      <c r="A107" s="25"/>
      <c r="B107" s="14" t="str">
        <f>CONCATENATE("     ","Supplies                                          ")</f>
        <v xml:space="preserve">     Supplies                                          </v>
      </c>
      <c r="C107" s="14"/>
      <c r="D107" s="2">
        <f>SUM(OSRRefD22_18x_0)</f>
        <v>473.25</v>
      </c>
      <c r="E107" s="2"/>
      <c r="F107" s="6">
        <f t="shared" si="20"/>
        <v>8.2164391145628387E-4</v>
      </c>
      <c r="G107" s="2"/>
      <c r="H107" s="2">
        <f>SUM(OSRRefH22_18x_0)</f>
        <v>180</v>
      </c>
      <c r="I107" s="2"/>
      <c r="J107" s="6">
        <f t="shared" si="21"/>
        <v>5.9086134453781509E-4</v>
      </c>
      <c r="K107" s="2"/>
      <c r="L107" s="2">
        <f t="shared" si="22"/>
        <v>293.25</v>
      </c>
      <c r="M107" s="2"/>
      <c r="N107" s="6">
        <f t="shared" si="23"/>
        <v>1.6291666666666667</v>
      </c>
      <c r="O107" s="14"/>
      <c r="P107" s="2">
        <f>SUM(OSRRefP22_18x_0)</f>
        <v>10944.34</v>
      </c>
      <c r="Q107" s="2"/>
      <c r="R107" s="6">
        <f t="shared" si="24"/>
        <v>3.7474653476628475E-3</v>
      </c>
      <c r="S107" s="2"/>
      <c r="T107" s="2">
        <f>SUM(OSRRefT22_18x_0)</f>
        <v>1520</v>
      </c>
      <c r="U107" s="2"/>
      <c r="V107" s="6">
        <f t="shared" si="25"/>
        <v>5.906327969843533E-4</v>
      </c>
      <c r="W107" s="2"/>
      <c r="X107" s="2">
        <f t="shared" si="26"/>
        <v>9424.34</v>
      </c>
      <c r="Y107" s="2"/>
      <c r="Z107" s="6">
        <f t="shared" si="27"/>
        <v>6.2002236842105267</v>
      </c>
    </row>
    <row r="108" spans="1:26" s="70" customFormat="1" ht="15" hidden="1" customHeight="1" outlineLevel="2" x14ac:dyDescent="0.3">
      <c r="A108" s="26"/>
      <c r="B108" s="12" t="str">
        <f>CONCATENATE("          ","6234"," - ","EXPENDABLE SUPPLIES &amp; EQUIPMEN")</f>
        <v xml:space="preserve">          6234 - EXPENDABLE SUPPLIES &amp; EQUIPMEN</v>
      </c>
      <c r="C108" s="12"/>
      <c r="D108" s="8"/>
      <c r="E108" s="3"/>
      <c r="F108" s="7">
        <f t="shared" ref="F108:F122" si="28">IF(D$12=0,0,D108/D$12)</f>
        <v>0</v>
      </c>
      <c r="G108" s="3"/>
      <c r="H108" s="8"/>
      <c r="I108" s="3"/>
      <c r="J108" s="7">
        <f t="shared" ref="J108:J122" si="29">IF(H$12=0,0,H108/H$12)</f>
        <v>0</v>
      </c>
      <c r="K108" s="3"/>
      <c r="L108" s="8">
        <f t="shared" ref="L108:L122" si="30">+D108-H108</f>
        <v>0</v>
      </c>
      <c r="M108" s="3"/>
      <c r="N108" s="7">
        <f t="shared" ref="N108:N122" si="31">IF(H108=0,0,L108/H108)</f>
        <v>0</v>
      </c>
      <c r="O108" s="12"/>
      <c r="P108" s="8">
        <v>1393.55</v>
      </c>
      <c r="Q108" s="3"/>
      <c r="R108" s="7">
        <f t="shared" ref="R108:R122" si="32">IF(P$12=0,0,P108/P$12)</f>
        <v>4.7716722390162957E-4</v>
      </c>
      <c r="S108" s="3"/>
      <c r="T108" s="8"/>
      <c r="U108" s="3"/>
      <c r="V108" s="7">
        <f t="shared" ref="V108:V122" si="33">IF(T$12=0,0,T108/T$12)</f>
        <v>0</v>
      </c>
      <c r="W108" s="3"/>
      <c r="X108" s="8">
        <f t="shared" ref="X108:X122" si="34">+P108-T108</f>
        <v>1393.55</v>
      </c>
      <c r="Y108" s="3"/>
      <c r="Z108" s="7">
        <f t="shared" ref="Z108:Z122" si="35">IF(T108=0,0,X108/T108)</f>
        <v>0</v>
      </c>
    </row>
    <row r="109" spans="1:26" s="70" customFormat="1" ht="15" hidden="1" customHeight="1" outlineLevel="2" x14ac:dyDescent="0.3">
      <c r="A109" s="26"/>
      <c r="B109" s="12" t="str">
        <f>CONCATENATE("          ","6235"," - ","COVID-19 EXPENSES")</f>
        <v xml:space="preserve">          6235 - COVID-19 EXPENSES</v>
      </c>
      <c r="C109" s="12"/>
      <c r="D109" s="8"/>
      <c r="E109" s="3"/>
      <c r="F109" s="7">
        <f t="shared" si="28"/>
        <v>0</v>
      </c>
      <c r="G109" s="3"/>
      <c r="H109" s="8">
        <v>25</v>
      </c>
      <c r="I109" s="3"/>
      <c r="J109" s="7">
        <f t="shared" si="29"/>
        <v>8.2064075630252107E-5</v>
      </c>
      <c r="K109" s="3"/>
      <c r="L109" s="8">
        <f t="shared" si="30"/>
        <v>-25</v>
      </c>
      <c r="M109" s="3"/>
      <c r="N109" s="7">
        <f t="shared" si="31"/>
        <v>-1</v>
      </c>
      <c r="O109" s="12"/>
      <c r="P109" s="8"/>
      <c r="Q109" s="3"/>
      <c r="R109" s="7">
        <f t="shared" si="32"/>
        <v>0</v>
      </c>
      <c r="S109" s="3"/>
      <c r="T109" s="8">
        <v>200</v>
      </c>
      <c r="U109" s="3"/>
      <c r="V109" s="7">
        <f t="shared" si="33"/>
        <v>7.7714841708467541E-5</v>
      </c>
      <c r="W109" s="3"/>
      <c r="X109" s="8">
        <f t="shared" si="34"/>
        <v>-200</v>
      </c>
      <c r="Y109" s="3"/>
      <c r="Z109" s="7">
        <f t="shared" si="35"/>
        <v>-1</v>
      </c>
    </row>
    <row r="110" spans="1:26" s="70" customFormat="1" ht="15" hidden="1" customHeight="1" outlineLevel="2" x14ac:dyDescent="0.3">
      <c r="A110" s="26"/>
      <c r="B110" s="12" t="str">
        <f>CONCATENATE("          ","6237"," - ","JANITORIAL SUPPLIES")</f>
        <v xml:space="preserve">          6237 - JANITORIAL SUPPLIES</v>
      </c>
      <c r="C110" s="12"/>
      <c r="D110" s="8"/>
      <c r="E110" s="3"/>
      <c r="F110" s="7">
        <f t="shared" si="28"/>
        <v>0</v>
      </c>
      <c r="G110" s="3"/>
      <c r="H110" s="8">
        <v>10</v>
      </c>
      <c r="I110" s="3"/>
      <c r="J110" s="7">
        <f t="shared" si="29"/>
        <v>3.2825630252100839E-5</v>
      </c>
      <c r="K110" s="3"/>
      <c r="L110" s="8">
        <f t="shared" si="30"/>
        <v>-10</v>
      </c>
      <c r="M110" s="3"/>
      <c r="N110" s="7">
        <f t="shared" si="31"/>
        <v>-1</v>
      </c>
      <c r="O110" s="12"/>
      <c r="P110" s="8">
        <v>77.17</v>
      </c>
      <c r="Q110" s="3"/>
      <c r="R110" s="7">
        <f t="shared" si="32"/>
        <v>2.6423877627992362E-5</v>
      </c>
      <c r="S110" s="3"/>
      <c r="T110" s="8">
        <v>160</v>
      </c>
      <c r="U110" s="3"/>
      <c r="V110" s="7">
        <f t="shared" si="33"/>
        <v>6.2171873366774027E-5</v>
      </c>
      <c r="W110" s="3"/>
      <c r="X110" s="8">
        <f t="shared" si="34"/>
        <v>-82.83</v>
      </c>
      <c r="Y110" s="3"/>
      <c r="Z110" s="7">
        <f t="shared" si="35"/>
        <v>-0.51768749999999997</v>
      </c>
    </row>
    <row r="111" spans="1:26" s="70" customFormat="1" ht="15" hidden="1" customHeight="1" outlineLevel="2" x14ac:dyDescent="0.3">
      <c r="A111" s="26"/>
      <c r="B111" s="12" t="str">
        <f>CONCATENATE("          ","6241"," - ","OFFICE EXPENSE")</f>
        <v xml:space="preserve">          6241 - OFFICE EXPENSE</v>
      </c>
      <c r="C111" s="12"/>
      <c r="D111" s="8">
        <v>473.25</v>
      </c>
      <c r="E111" s="3"/>
      <c r="F111" s="7">
        <f t="shared" si="28"/>
        <v>8.2164391145628387E-4</v>
      </c>
      <c r="G111" s="3"/>
      <c r="H111" s="8">
        <v>70</v>
      </c>
      <c r="I111" s="3"/>
      <c r="J111" s="7">
        <f t="shared" si="29"/>
        <v>2.2977941176470588E-4</v>
      </c>
      <c r="K111" s="3"/>
      <c r="L111" s="8">
        <f t="shared" si="30"/>
        <v>403.25</v>
      </c>
      <c r="M111" s="3"/>
      <c r="N111" s="7">
        <f t="shared" si="31"/>
        <v>5.7607142857142861</v>
      </c>
      <c r="O111" s="12"/>
      <c r="P111" s="8">
        <v>2034.3</v>
      </c>
      <c r="Q111" s="3"/>
      <c r="R111" s="7">
        <f t="shared" si="32"/>
        <v>6.9656724450725487E-4</v>
      </c>
      <c r="S111" s="3"/>
      <c r="T111" s="8">
        <v>560</v>
      </c>
      <c r="U111" s="3"/>
      <c r="V111" s="7">
        <f t="shared" si="33"/>
        <v>2.1760155678370911E-4</v>
      </c>
      <c r="W111" s="3"/>
      <c r="X111" s="8">
        <f t="shared" si="34"/>
        <v>1474.3</v>
      </c>
      <c r="Y111" s="3"/>
      <c r="Z111" s="7">
        <f t="shared" si="35"/>
        <v>2.6326785714285714</v>
      </c>
    </row>
    <row r="112" spans="1:26" s="70" customFormat="1" ht="15" hidden="1" customHeight="1" outlineLevel="2" x14ac:dyDescent="0.3">
      <c r="A112" s="26"/>
      <c r="B112" s="12" t="str">
        <f>CONCATENATE("          ","6245"," - ","PRINTING")</f>
        <v xml:space="preserve">          6245 - PRINTING</v>
      </c>
      <c r="C112" s="12"/>
      <c r="D112" s="8"/>
      <c r="E112" s="3"/>
      <c r="F112" s="7">
        <f t="shared" si="28"/>
        <v>0</v>
      </c>
      <c r="G112" s="3"/>
      <c r="H112" s="8"/>
      <c r="I112" s="3"/>
      <c r="J112" s="7">
        <f t="shared" si="29"/>
        <v>0</v>
      </c>
      <c r="K112" s="3"/>
      <c r="L112" s="8">
        <f t="shared" si="30"/>
        <v>0</v>
      </c>
      <c r="M112" s="3"/>
      <c r="N112" s="7">
        <f t="shared" si="31"/>
        <v>0</v>
      </c>
      <c r="O112" s="12"/>
      <c r="P112" s="8">
        <v>24.75</v>
      </c>
      <c r="Q112" s="3"/>
      <c r="R112" s="7">
        <f t="shared" si="32"/>
        <v>8.4746789075134241E-6</v>
      </c>
      <c r="S112" s="3"/>
      <c r="T112" s="8"/>
      <c r="U112" s="3"/>
      <c r="V112" s="7">
        <f t="shared" si="33"/>
        <v>0</v>
      </c>
      <c r="W112" s="3"/>
      <c r="X112" s="8">
        <f t="shared" si="34"/>
        <v>24.75</v>
      </c>
      <c r="Y112" s="3"/>
      <c r="Z112" s="7">
        <f t="shared" si="35"/>
        <v>0</v>
      </c>
    </row>
    <row r="113" spans="1:26" s="70" customFormat="1" ht="15" hidden="1" customHeight="1" outlineLevel="2" x14ac:dyDescent="0.3">
      <c r="A113" s="26"/>
      <c r="B113" s="12" t="str">
        <f>CONCATENATE("          ","6247"," - ","STORE SUPPLIES")</f>
        <v xml:space="preserve">          6247 - STORE SUPPLIES</v>
      </c>
      <c r="C113" s="12"/>
      <c r="D113" s="8"/>
      <c r="E113" s="3"/>
      <c r="F113" s="7">
        <f t="shared" si="28"/>
        <v>0</v>
      </c>
      <c r="G113" s="3"/>
      <c r="H113" s="8">
        <v>75</v>
      </c>
      <c r="I113" s="3"/>
      <c r="J113" s="7">
        <f t="shared" si="29"/>
        <v>2.461922268907563E-4</v>
      </c>
      <c r="K113" s="3"/>
      <c r="L113" s="8">
        <f t="shared" si="30"/>
        <v>-75</v>
      </c>
      <c r="M113" s="3"/>
      <c r="N113" s="7">
        <f t="shared" si="31"/>
        <v>-1</v>
      </c>
      <c r="O113" s="12"/>
      <c r="P113" s="8">
        <v>7414.57</v>
      </c>
      <c r="Q113" s="3"/>
      <c r="R113" s="7">
        <f t="shared" si="32"/>
        <v>2.538832322718457E-3</v>
      </c>
      <c r="S113" s="3"/>
      <c r="T113" s="8">
        <v>600</v>
      </c>
      <c r="U113" s="3"/>
      <c r="V113" s="7">
        <f t="shared" si="33"/>
        <v>2.3314452512540262E-4</v>
      </c>
      <c r="W113" s="3"/>
      <c r="X113" s="8">
        <f t="shared" si="34"/>
        <v>6814.57</v>
      </c>
      <c r="Y113" s="3"/>
      <c r="Z113" s="7">
        <f t="shared" si="35"/>
        <v>11.357616666666667</v>
      </c>
    </row>
    <row r="114" spans="1:26" s="69" customFormat="1" ht="15" customHeight="1" outlineLevel="1" collapsed="1" x14ac:dyDescent="0.3">
      <c r="A114" s="25"/>
      <c r="B114" s="14" t="str">
        <f>CONCATENATE("     ","Telephone/Data Lines                              ")</f>
        <v xml:space="preserve">     Telephone/Data Lines                              </v>
      </c>
      <c r="C114" s="14"/>
      <c r="D114" s="2">
        <f>SUM(OSRRefD22_19x_0)</f>
        <v>583.14</v>
      </c>
      <c r="E114" s="2"/>
      <c r="F114" s="6">
        <f t="shared" si="28"/>
        <v>1.0124319715300947E-3</v>
      </c>
      <c r="G114" s="2"/>
      <c r="H114" s="2">
        <f>SUM(OSRRefH22_19x_0)</f>
        <v>610</v>
      </c>
      <c r="I114" s="2"/>
      <c r="J114" s="6">
        <f t="shared" si="29"/>
        <v>2.0023634453781511E-3</v>
      </c>
      <c r="K114" s="2"/>
      <c r="L114" s="2">
        <f t="shared" si="30"/>
        <v>-26.860000000000014</v>
      </c>
      <c r="M114" s="2"/>
      <c r="N114" s="6">
        <f t="shared" si="31"/>
        <v>-4.4032786885245923E-2</v>
      </c>
      <c r="O114" s="14"/>
      <c r="P114" s="2">
        <f>SUM(OSRRefP22_19x_0)</f>
        <v>4497.0600000000004</v>
      </c>
      <c r="Q114" s="2"/>
      <c r="R114" s="6">
        <f t="shared" si="32"/>
        <v>1.5398440213261544E-3</v>
      </c>
      <c r="S114" s="2"/>
      <c r="T114" s="2">
        <f>SUM(OSRRefT22_19x_0)</f>
        <v>4880</v>
      </c>
      <c r="U114" s="2"/>
      <c r="V114" s="6">
        <f t="shared" si="33"/>
        <v>1.896242137686608E-3</v>
      </c>
      <c r="W114" s="2"/>
      <c r="X114" s="2">
        <f t="shared" si="34"/>
        <v>-382.9399999999996</v>
      </c>
      <c r="Y114" s="2"/>
      <c r="Z114" s="6">
        <f t="shared" si="35"/>
        <v>-7.8471311475409755E-2</v>
      </c>
    </row>
    <row r="115" spans="1:26" s="70" customFormat="1" ht="15" hidden="1" customHeight="1" outlineLevel="2" x14ac:dyDescent="0.3">
      <c r="A115" s="26"/>
      <c r="B115" s="12" t="str">
        <f>CONCATENATE("          ","6309"," - ","TELEPHONE")</f>
        <v xml:space="preserve">          6309 - TELEPHONE</v>
      </c>
      <c r="C115" s="12"/>
      <c r="D115" s="8">
        <v>583.14</v>
      </c>
      <c r="E115" s="3"/>
      <c r="F115" s="7">
        <f t="shared" si="28"/>
        <v>1.0124319715300947E-3</v>
      </c>
      <c r="G115" s="3"/>
      <c r="H115" s="8">
        <v>610</v>
      </c>
      <c r="I115" s="3"/>
      <c r="J115" s="7">
        <f t="shared" si="29"/>
        <v>2.0023634453781511E-3</v>
      </c>
      <c r="K115" s="3"/>
      <c r="L115" s="8">
        <f t="shared" si="30"/>
        <v>-26.860000000000014</v>
      </c>
      <c r="M115" s="3"/>
      <c r="N115" s="7">
        <f t="shared" si="31"/>
        <v>-4.4032786885245923E-2</v>
      </c>
      <c r="O115" s="12"/>
      <c r="P115" s="8">
        <v>4497.0600000000004</v>
      </c>
      <c r="Q115" s="3"/>
      <c r="R115" s="7">
        <f t="shared" si="32"/>
        <v>1.5398440213261544E-3</v>
      </c>
      <c r="S115" s="3"/>
      <c r="T115" s="8">
        <v>4880</v>
      </c>
      <c r="U115" s="3"/>
      <c r="V115" s="7">
        <f t="shared" si="33"/>
        <v>1.896242137686608E-3</v>
      </c>
      <c r="W115" s="3"/>
      <c r="X115" s="8">
        <f t="shared" si="34"/>
        <v>-382.9399999999996</v>
      </c>
      <c r="Y115" s="3"/>
      <c r="Z115" s="7">
        <f t="shared" si="35"/>
        <v>-7.8471311475409755E-2</v>
      </c>
    </row>
    <row r="116" spans="1:26" s="69" customFormat="1" ht="15" customHeight="1" outlineLevel="1" collapsed="1" x14ac:dyDescent="0.3">
      <c r="A116" s="25"/>
      <c r="B116" s="14" t="str">
        <f>CONCATENATE("     ","Training                                          ")</f>
        <v xml:space="preserve">     Training                                          </v>
      </c>
      <c r="C116" s="14"/>
      <c r="D116" s="2">
        <f>SUM(OSRRefD22_20x_0)</f>
        <v>300</v>
      </c>
      <c r="E116" s="2"/>
      <c r="F116" s="6">
        <f t="shared" si="28"/>
        <v>5.2085192485342878E-4</v>
      </c>
      <c r="G116" s="2"/>
      <c r="H116" s="2">
        <f>SUM(OSRRefH22_20x_0)</f>
        <v>0</v>
      </c>
      <c r="I116" s="2"/>
      <c r="J116" s="6">
        <f t="shared" si="29"/>
        <v>0</v>
      </c>
      <c r="K116" s="2"/>
      <c r="L116" s="2">
        <f t="shared" si="30"/>
        <v>300</v>
      </c>
      <c r="M116" s="2"/>
      <c r="N116" s="6">
        <f t="shared" si="31"/>
        <v>0</v>
      </c>
      <c r="O116" s="14"/>
      <c r="P116" s="2">
        <f>SUM(OSRRefP22_20x_0)</f>
        <v>300</v>
      </c>
      <c r="Q116" s="2"/>
      <c r="R116" s="6">
        <f t="shared" si="32"/>
        <v>1.0272338069713241E-4</v>
      </c>
      <c r="S116" s="2"/>
      <c r="T116" s="2">
        <f>SUM(OSRRefT22_20x_0)</f>
        <v>0</v>
      </c>
      <c r="U116" s="2"/>
      <c r="V116" s="6">
        <f t="shared" si="33"/>
        <v>0</v>
      </c>
      <c r="W116" s="2"/>
      <c r="X116" s="2">
        <f t="shared" si="34"/>
        <v>300</v>
      </c>
      <c r="Y116" s="2"/>
      <c r="Z116" s="6">
        <f t="shared" si="35"/>
        <v>0</v>
      </c>
    </row>
    <row r="117" spans="1:26" s="70" customFormat="1" ht="15" hidden="1" customHeight="1" outlineLevel="2" x14ac:dyDescent="0.3">
      <c r="A117" s="26"/>
      <c r="B117" s="12" t="str">
        <f>CONCATENATE("          ","6376"," - ","TRAINING")</f>
        <v xml:space="preserve">          6376 - TRAINING</v>
      </c>
      <c r="C117" s="12"/>
      <c r="D117" s="8">
        <v>300</v>
      </c>
      <c r="E117" s="3"/>
      <c r="F117" s="7">
        <f t="shared" si="28"/>
        <v>5.2085192485342878E-4</v>
      </c>
      <c r="G117" s="3"/>
      <c r="H117" s="8"/>
      <c r="I117" s="3"/>
      <c r="J117" s="7">
        <f t="shared" si="29"/>
        <v>0</v>
      </c>
      <c r="K117" s="3"/>
      <c r="L117" s="8">
        <f t="shared" si="30"/>
        <v>300</v>
      </c>
      <c r="M117" s="3"/>
      <c r="N117" s="7">
        <f t="shared" si="31"/>
        <v>0</v>
      </c>
      <c r="O117" s="12"/>
      <c r="P117" s="8">
        <v>300</v>
      </c>
      <c r="Q117" s="3"/>
      <c r="R117" s="7">
        <f t="shared" si="32"/>
        <v>1.0272338069713241E-4</v>
      </c>
      <c r="S117" s="3"/>
      <c r="T117" s="8"/>
      <c r="U117" s="3"/>
      <c r="V117" s="7">
        <f t="shared" si="33"/>
        <v>0</v>
      </c>
      <c r="W117" s="3"/>
      <c r="X117" s="8">
        <f t="shared" si="34"/>
        <v>300</v>
      </c>
      <c r="Y117" s="3"/>
      <c r="Z117" s="7">
        <f t="shared" si="35"/>
        <v>0</v>
      </c>
    </row>
    <row r="118" spans="1:26" s="69" customFormat="1" ht="15" customHeight="1" outlineLevel="1" collapsed="1" x14ac:dyDescent="0.3">
      <c r="A118" s="25"/>
      <c r="B118" s="14" t="str">
        <f>CONCATENATE("     ","Travel                                            ")</f>
        <v xml:space="preserve">     Travel                                            </v>
      </c>
      <c r="C118" s="14"/>
      <c r="D118" s="2">
        <f>SUM(OSRRefD22_21x_0)</f>
        <v>116.74</v>
      </c>
      <c r="E118" s="2"/>
      <c r="F118" s="6">
        <f t="shared" si="28"/>
        <v>2.0268084569129757E-4</v>
      </c>
      <c r="G118" s="2"/>
      <c r="H118" s="2">
        <f>SUM(OSRRefH22_21x_0)</f>
        <v>50</v>
      </c>
      <c r="I118" s="2"/>
      <c r="J118" s="6">
        <f t="shared" si="29"/>
        <v>1.6412815126050421E-4</v>
      </c>
      <c r="K118" s="2"/>
      <c r="L118" s="2">
        <f t="shared" si="30"/>
        <v>66.739999999999995</v>
      </c>
      <c r="M118" s="2"/>
      <c r="N118" s="6">
        <f t="shared" si="31"/>
        <v>1.3348</v>
      </c>
      <c r="O118" s="14"/>
      <c r="P118" s="2">
        <f>SUM(OSRRefP22_21x_0)</f>
        <v>356.67</v>
      </c>
      <c r="Q118" s="2"/>
      <c r="R118" s="6">
        <f t="shared" si="32"/>
        <v>1.2212782731082074E-4</v>
      </c>
      <c r="S118" s="2"/>
      <c r="T118" s="2">
        <f>SUM(OSRRefT22_21x_0)</f>
        <v>650</v>
      </c>
      <c r="U118" s="2"/>
      <c r="V118" s="6">
        <f t="shared" si="33"/>
        <v>2.5257323555251952E-4</v>
      </c>
      <c r="W118" s="2"/>
      <c r="X118" s="2">
        <f t="shared" si="34"/>
        <v>-293.33</v>
      </c>
      <c r="Y118" s="2"/>
      <c r="Z118" s="6">
        <f t="shared" si="35"/>
        <v>-0.45127692307692308</v>
      </c>
    </row>
    <row r="119" spans="1:26" s="70" customFormat="1" ht="15" hidden="1" customHeight="1" outlineLevel="2" x14ac:dyDescent="0.3">
      <c r="A119" s="26"/>
      <c r="B119" s="12" t="str">
        <f>CONCATENATE("          ","6294"," - ","TRAVEL OPERATIONAL")</f>
        <v xml:space="preserve">          6294 - TRAVEL OPERATIONAL</v>
      </c>
      <c r="C119" s="12"/>
      <c r="D119" s="8">
        <v>116.74</v>
      </c>
      <c r="E119" s="3"/>
      <c r="F119" s="7">
        <f t="shared" si="28"/>
        <v>2.0268084569129757E-4</v>
      </c>
      <c r="G119" s="3"/>
      <c r="H119" s="8">
        <v>25</v>
      </c>
      <c r="I119" s="3"/>
      <c r="J119" s="7">
        <f t="shared" si="29"/>
        <v>8.2064075630252107E-5</v>
      </c>
      <c r="K119" s="3"/>
      <c r="L119" s="8">
        <f t="shared" si="30"/>
        <v>91.74</v>
      </c>
      <c r="M119" s="3"/>
      <c r="N119" s="7">
        <f t="shared" si="31"/>
        <v>3.6696</v>
      </c>
      <c r="O119" s="12"/>
      <c r="P119" s="8">
        <v>356.67</v>
      </c>
      <c r="Q119" s="3"/>
      <c r="R119" s="7">
        <f t="shared" si="32"/>
        <v>1.2212782731082074E-4</v>
      </c>
      <c r="S119" s="3"/>
      <c r="T119" s="8">
        <v>200</v>
      </c>
      <c r="U119" s="3"/>
      <c r="V119" s="7">
        <f t="shared" si="33"/>
        <v>7.7714841708467541E-5</v>
      </c>
      <c r="W119" s="3"/>
      <c r="X119" s="8">
        <f t="shared" si="34"/>
        <v>156.67000000000002</v>
      </c>
      <c r="Y119" s="3"/>
      <c r="Z119" s="7">
        <f t="shared" si="35"/>
        <v>0.7833500000000001</v>
      </c>
    </row>
    <row r="120" spans="1:26" s="70" customFormat="1" ht="15" hidden="1" customHeight="1" outlineLevel="2" x14ac:dyDescent="0.3">
      <c r="A120" s="26"/>
      <c r="B120" s="12" t="str">
        <f>CONCATENATE("          ","6298"," - ","VEHICLE MILEAGE")</f>
        <v xml:space="preserve">          6298 - VEHICLE MILEAGE</v>
      </c>
      <c r="C120" s="12"/>
      <c r="D120" s="8"/>
      <c r="E120" s="3"/>
      <c r="F120" s="7">
        <f t="shared" si="28"/>
        <v>0</v>
      </c>
      <c r="G120" s="3"/>
      <c r="H120" s="8">
        <v>25</v>
      </c>
      <c r="I120" s="3"/>
      <c r="J120" s="7">
        <f t="shared" si="29"/>
        <v>8.2064075630252107E-5</v>
      </c>
      <c r="K120" s="3"/>
      <c r="L120" s="8">
        <f t="shared" si="30"/>
        <v>-25</v>
      </c>
      <c r="M120" s="3"/>
      <c r="N120" s="7">
        <f t="shared" si="31"/>
        <v>-1</v>
      </c>
      <c r="O120" s="12"/>
      <c r="P120" s="8"/>
      <c r="Q120" s="3"/>
      <c r="R120" s="7">
        <f t="shared" si="32"/>
        <v>0</v>
      </c>
      <c r="S120" s="3"/>
      <c r="T120" s="8">
        <v>450</v>
      </c>
      <c r="U120" s="3"/>
      <c r="V120" s="7">
        <f t="shared" si="33"/>
        <v>1.7485839384405195E-4</v>
      </c>
      <c r="W120" s="3"/>
      <c r="X120" s="8">
        <f t="shared" si="34"/>
        <v>-450</v>
      </c>
      <c r="Y120" s="3"/>
      <c r="Z120" s="7">
        <f t="shared" si="35"/>
        <v>-1</v>
      </c>
    </row>
    <row r="121" spans="1:26" s="69" customFormat="1" ht="15" customHeight="1" outlineLevel="1" collapsed="1" x14ac:dyDescent="0.3">
      <c r="A121" s="25"/>
      <c r="B121" s="14" t="str">
        <f>CONCATENATE("     ","Utilities                                         ")</f>
        <v xml:space="preserve">     Utilities                                         </v>
      </c>
      <c r="C121" s="14"/>
      <c r="D121" s="2">
        <f>SUM(OSRRefD22_22x_0)</f>
        <v>355.65</v>
      </c>
      <c r="E121" s="2"/>
      <c r="F121" s="6">
        <f t="shared" si="28"/>
        <v>6.174699569137397E-4</v>
      </c>
      <c r="G121" s="2"/>
      <c r="H121" s="2">
        <f>SUM(OSRRefH22_22x_0)</f>
        <v>2800</v>
      </c>
      <c r="I121" s="2"/>
      <c r="J121" s="6">
        <f t="shared" si="29"/>
        <v>9.1911764705882356E-3</v>
      </c>
      <c r="K121" s="2"/>
      <c r="L121" s="2">
        <f t="shared" si="30"/>
        <v>-2444.35</v>
      </c>
      <c r="M121" s="2"/>
      <c r="N121" s="6">
        <f t="shared" si="31"/>
        <v>-0.87298214285714282</v>
      </c>
      <c r="O121" s="14"/>
      <c r="P121" s="2">
        <f>SUM(OSRRefP22_22x_0)</f>
        <v>895.07</v>
      </c>
      <c r="Q121" s="2"/>
      <c r="R121" s="6">
        <f t="shared" si="32"/>
        <v>3.0648205453527437E-4</v>
      </c>
      <c r="S121" s="2"/>
      <c r="T121" s="2">
        <f>SUM(OSRRefT22_22x_0)</f>
        <v>3640</v>
      </c>
      <c r="U121" s="2"/>
      <c r="V121" s="6">
        <f t="shared" si="33"/>
        <v>1.4144101190941092E-3</v>
      </c>
      <c r="W121" s="2"/>
      <c r="X121" s="2">
        <f t="shared" si="34"/>
        <v>-2744.93</v>
      </c>
      <c r="Y121" s="2"/>
      <c r="Z121" s="6">
        <f t="shared" si="35"/>
        <v>-0.75410164835164828</v>
      </c>
    </row>
    <row r="122" spans="1:26" s="70" customFormat="1" ht="15" hidden="1" customHeight="1" outlineLevel="2" x14ac:dyDescent="0.3">
      <c r="A122" s="26"/>
      <c r="B122" s="12" t="str">
        <f>CONCATENATE("          ","6274"," - ","UTILITIES")</f>
        <v xml:space="preserve">          6274 - UTILITIES</v>
      </c>
      <c r="C122" s="12"/>
      <c r="D122" s="8">
        <v>355.65</v>
      </c>
      <c r="E122" s="3"/>
      <c r="F122" s="7">
        <f t="shared" si="28"/>
        <v>6.174699569137397E-4</v>
      </c>
      <c r="G122" s="3"/>
      <c r="H122" s="8">
        <v>2800</v>
      </c>
      <c r="I122" s="3"/>
      <c r="J122" s="7">
        <f t="shared" si="29"/>
        <v>9.1911764705882356E-3</v>
      </c>
      <c r="K122" s="3"/>
      <c r="L122" s="8">
        <f t="shared" si="30"/>
        <v>-2444.35</v>
      </c>
      <c r="M122" s="3"/>
      <c r="N122" s="7">
        <f t="shared" si="31"/>
        <v>-0.87298214285714282</v>
      </c>
      <c r="O122" s="12"/>
      <c r="P122" s="8">
        <v>895.07</v>
      </c>
      <c r="Q122" s="3"/>
      <c r="R122" s="7">
        <f t="shared" si="32"/>
        <v>3.0648205453527437E-4</v>
      </c>
      <c r="S122" s="3"/>
      <c r="T122" s="8">
        <v>3640</v>
      </c>
      <c r="U122" s="3"/>
      <c r="V122" s="7">
        <f t="shared" si="33"/>
        <v>1.4144101190941092E-3</v>
      </c>
      <c r="W122" s="3"/>
      <c r="X122" s="8">
        <f t="shared" si="34"/>
        <v>-2744.93</v>
      </c>
      <c r="Y122" s="3"/>
      <c r="Z122" s="7">
        <f t="shared" si="35"/>
        <v>-0.75410164835164828</v>
      </c>
    </row>
    <row r="123" spans="1:26" s="65" customFormat="1" ht="15" customHeight="1" x14ac:dyDescent="0.3">
      <c r="A123" s="35"/>
      <c r="B123" s="35"/>
      <c r="C123" s="35"/>
      <c r="D123" s="2"/>
      <c r="E123" s="2"/>
      <c r="F123" s="6"/>
      <c r="G123" s="2"/>
      <c r="H123" s="2"/>
      <c r="I123" s="2"/>
      <c r="J123" s="6"/>
      <c r="K123" s="2"/>
      <c r="L123" s="2"/>
      <c r="M123" s="2"/>
      <c r="N123" s="6"/>
      <c r="O123" s="35"/>
      <c r="P123" s="2"/>
      <c r="Q123" s="2"/>
      <c r="R123" s="6"/>
      <c r="S123" s="2"/>
      <c r="T123" s="2"/>
      <c r="U123" s="2"/>
      <c r="V123" s="6"/>
      <c r="W123" s="2"/>
      <c r="X123" s="2"/>
      <c r="Y123" s="2"/>
      <c r="Z123" s="6"/>
    </row>
    <row r="124" spans="1:26" s="63" customFormat="1" ht="15" customHeight="1" collapsed="1" x14ac:dyDescent="0.3">
      <c r="A124" s="11"/>
      <c r="B124" s="27" t="s">
        <v>291</v>
      </c>
      <c r="C124" s="11"/>
      <c r="D124" s="5">
        <f>SUM(OSRRefD25x_0)</f>
        <v>145</v>
      </c>
      <c r="E124" s="5"/>
      <c r="F124" s="13">
        <f>IF(D$12=0,0,D124/D$12)</f>
        <v>2.5174509701249054E-4</v>
      </c>
      <c r="G124" s="5"/>
      <c r="H124" s="5">
        <f>SUM(OSRRefH25x_0)</f>
        <v>0</v>
      </c>
      <c r="I124" s="5"/>
      <c r="J124" s="13">
        <f>IF(H$12=0,0,H124/H$12)</f>
        <v>0</v>
      </c>
      <c r="K124" s="5"/>
      <c r="L124" s="5">
        <f>+D124-H124</f>
        <v>145</v>
      </c>
      <c r="M124" s="5"/>
      <c r="N124" s="13">
        <f>IF(H124=0,0,L124/H124)</f>
        <v>0</v>
      </c>
      <c r="O124" s="11"/>
      <c r="P124" s="5">
        <f>SUM(OSRRefP25x_0)</f>
        <v>158647.37</v>
      </c>
      <c r="Q124" s="5"/>
      <c r="R124" s="13">
        <f>IF(P$12=0,0,P124/P$12)</f>
        <v>5.4322647283696082E-2</v>
      </c>
      <c r="S124" s="5"/>
      <c r="T124" s="5">
        <f>SUM(OSRRefT25x_0)</f>
        <v>106228</v>
      </c>
      <c r="U124" s="5"/>
      <c r="V124" s="13">
        <f>IF(T$12=0,0,T124/T$12)</f>
        <v>4.1277461025035447E-2</v>
      </c>
      <c r="W124" s="5"/>
      <c r="X124" s="5">
        <f>+P124-T124</f>
        <v>52419.369999999995</v>
      </c>
      <c r="Y124" s="5"/>
      <c r="Z124" s="13">
        <f>IF(T124=0,0,X124/T124)</f>
        <v>0.49346095191474937</v>
      </c>
    </row>
    <row r="125" spans="1:26" s="70" customFormat="1" ht="15" hidden="1" customHeight="1" outlineLevel="1" x14ac:dyDescent="0.3">
      <c r="A125" s="42"/>
      <c r="B125" s="12" t="str">
        <f>CONCATENATE("          ","9150"," - ","MISC. INCOME")</f>
        <v xml:space="preserve">          9150 - MISC. INCOME</v>
      </c>
      <c r="C125" s="12"/>
      <c r="D125" s="3">
        <f>--145</f>
        <v>145</v>
      </c>
      <c r="E125" s="3"/>
      <c r="F125" s="20">
        <f>IF(D$12=0,0,D125/D$12)</f>
        <v>2.5174509701249054E-4</v>
      </c>
      <c r="G125" s="3"/>
      <c r="H125" s="3">
        <v>0</v>
      </c>
      <c r="I125" s="3"/>
      <c r="J125" s="20">
        <f>IF(H$12=0,0,H125/H$12)</f>
        <v>0</v>
      </c>
      <c r="K125" s="3"/>
      <c r="L125" s="3">
        <f>+D125-H125</f>
        <v>145</v>
      </c>
      <c r="M125" s="3"/>
      <c r="N125" s="20">
        <f>IF(H125=0,0,L125/H125)</f>
        <v>0</v>
      </c>
      <c r="O125" s="12"/>
      <c r="P125" s="3">
        <f>--78871.67</f>
        <v>78871.67</v>
      </c>
      <c r="Q125" s="3"/>
      <c r="R125" s="20">
        <f>IF(P$12=0,0,P125/P$12)</f>
        <v>2.7006548612095324E-2</v>
      </c>
      <c r="S125" s="3"/>
      <c r="T125" s="3">
        <v>47895</v>
      </c>
      <c r="U125" s="3"/>
      <c r="V125" s="20">
        <f>IF(T$12=0,0,T125/T$12)</f>
        <v>1.8610761718135263E-2</v>
      </c>
      <c r="W125" s="3"/>
      <c r="X125" s="3">
        <f>+P125-T125</f>
        <v>30976.67</v>
      </c>
      <c r="Y125" s="3"/>
      <c r="Z125" s="20">
        <f>IF(T125=0,0,X125/T125)</f>
        <v>0.6467620837248147</v>
      </c>
    </row>
    <row r="126" spans="1:26" s="70" customFormat="1" ht="15" hidden="1" customHeight="1" outlineLevel="1" x14ac:dyDescent="0.3">
      <c r="A126" s="42"/>
      <c r="B126" s="12" t="str">
        <f>CONCATENATE("          ","9160"," - ","MISC. INCOME")</f>
        <v xml:space="preserve">          9160 - MISC. INCOME</v>
      </c>
      <c r="C126" s="12"/>
      <c r="D126" s="3">
        <f>0</f>
        <v>0</v>
      </c>
      <c r="E126" s="3"/>
      <c r="F126" s="20">
        <f>IF(D$12=0,0,D126/D$12)</f>
        <v>0</v>
      </c>
      <c r="G126" s="3"/>
      <c r="H126" s="3"/>
      <c r="I126" s="3"/>
      <c r="J126" s="20">
        <f>IF(H$12=0,0,H126/H$12)</f>
        <v>0</v>
      </c>
      <c r="K126" s="3"/>
      <c r="L126" s="3">
        <f>+D126-H126</f>
        <v>0</v>
      </c>
      <c r="M126" s="3"/>
      <c r="N126" s="20">
        <f>IF(H126=0,0,L126/H126)</f>
        <v>0</v>
      </c>
      <c r="O126" s="12"/>
      <c r="P126" s="3">
        <f>0</f>
        <v>0</v>
      </c>
      <c r="Q126" s="3"/>
      <c r="R126" s="20">
        <f>IF(P$12=0,0,P126/P$12)</f>
        <v>0</v>
      </c>
      <c r="S126" s="3"/>
      <c r="T126" s="3">
        <v>58333</v>
      </c>
      <c r="U126" s="3"/>
      <c r="V126" s="20">
        <f>IF(T$12=0,0,T126/T$12)</f>
        <v>2.2666699306900184E-2</v>
      </c>
      <c r="W126" s="3"/>
      <c r="X126" s="3">
        <f>+P126-T126</f>
        <v>-58333</v>
      </c>
      <c r="Y126" s="3"/>
      <c r="Z126" s="20">
        <f>IF(T126=0,0,X126/T126)</f>
        <v>-1</v>
      </c>
    </row>
    <row r="127" spans="1:26" s="70" customFormat="1" ht="15" hidden="1" customHeight="1" outlineLevel="1" x14ac:dyDescent="0.3">
      <c r="A127" s="42"/>
      <c r="B127" s="12" t="str">
        <f>CONCATENATE("          ","9163"," - ","MISC. INCOME")</f>
        <v xml:space="preserve">          9163 - MISC. INCOME</v>
      </c>
      <c r="C127" s="12"/>
      <c r="D127" s="3">
        <f>0</f>
        <v>0</v>
      </c>
      <c r="E127" s="3"/>
      <c r="F127" s="20">
        <f>IF(D$12=0,0,D127/D$12)</f>
        <v>0</v>
      </c>
      <c r="G127" s="3"/>
      <c r="H127" s="3"/>
      <c r="I127" s="3"/>
      <c r="J127" s="20">
        <f>IF(H$12=0,0,H127/H$12)</f>
        <v>0</v>
      </c>
      <c r="K127" s="3"/>
      <c r="L127" s="3">
        <f>+D127-H127</f>
        <v>0</v>
      </c>
      <c r="M127" s="3"/>
      <c r="N127" s="20">
        <f>IF(H127=0,0,L127/H127)</f>
        <v>0</v>
      </c>
      <c r="O127" s="12"/>
      <c r="P127" s="3">
        <f>--79775.7</f>
        <v>79775.7</v>
      </c>
      <c r="Q127" s="3"/>
      <c r="R127" s="20">
        <f>IF(P$12=0,0,P127/P$12)</f>
        <v>2.7316098671600755E-2</v>
      </c>
      <c r="S127" s="3"/>
      <c r="T127" s="3"/>
      <c r="U127" s="3"/>
      <c r="V127" s="20">
        <f>IF(T$12=0,0,T127/T$12)</f>
        <v>0</v>
      </c>
      <c r="W127" s="3"/>
      <c r="X127" s="3">
        <f>+P127-T127</f>
        <v>79775.7</v>
      </c>
      <c r="Y127" s="3"/>
      <c r="Z127" s="20">
        <f>IF(T127=0,0,X127/T127)</f>
        <v>0</v>
      </c>
    </row>
    <row r="128" spans="1:26" ht="15" customHeight="1" x14ac:dyDescent="0.3">
      <c r="A128" s="10"/>
      <c r="B128" s="11"/>
      <c r="C128" s="11"/>
      <c r="D128" s="4"/>
      <c r="E128" s="4"/>
      <c r="F128" s="9"/>
      <c r="G128" s="4"/>
      <c r="H128" s="4"/>
      <c r="I128" s="4"/>
      <c r="J128" s="9"/>
      <c r="K128" s="4"/>
      <c r="L128" s="4"/>
      <c r="M128" s="4"/>
      <c r="N128" s="9"/>
      <c r="O128" s="11"/>
      <c r="P128" s="4"/>
      <c r="Q128" s="4"/>
      <c r="R128" s="9"/>
      <c r="S128" s="4"/>
      <c r="T128" s="4"/>
      <c r="U128" s="4"/>
      <c r="V128" s="9"/>
      <c r="W128" s="4"/>
      <c r="X128" s="4"/>
      <c r="Y128" s="4"/>
      <c r="Z128" s="9"/>
    </row>
    <row r="129" spans="1:26" s="63" customFormat="1" ht="15" customHeight="1" x14ac:dyDescent="0.3">
      <c r="A129" s="11"/>
      <c r="B129" s="28" t="s">
        <v>292</v>
      </c>
      <c r="C129" s="28"/>
      <c r="D129" s="21">
        <f>+D42-D44+D124</f>
        <v>193629.20000000007</v>
      </c>
      <c r="E129" s="15"/>
      <c r="F129" s="22">
        <f>IF(D$12=0,0,D129/D$12)</f>
        <v>0.33617380509276518</v>
      </c>
      <c r="G129" s="15"/>
      <c r="H129" s="21">
        <f>+H42-H44+H124</f>
        <v>35578.048566107682</v>
      </c>
      <c r="I129" s="15"/>
      <c r="J129" s="22">
        <f>IF(H$12=0,0,H129/H$12)</f>
        <v>0.11678718673223372</v>
      </c>
      <c r="K129" s="16"/>
      <c r="L129" s="21">
        <f>+D129-H129</f>
        <v>158051.15143389237</v>
      </c>
      <c r="M129" s="16"/>
      <c r="N129" s="22">
        <f>IF(H129=0,0,L129/H129)</f>
        <v>4.4423783148257003</v>
      </c>
      <c r="O129" s="27"/>
      <c r="P129" s="21">
        <f>+P42-P44+P124</f>
        <v>821496.5700000003</v>
      </c>
      <c r="Q129" s="15"/>
      <c r="R129" s="22">
        <f>IF(P$12=0,0,P129/P$12)</f>
        <v>0.28128968300499507</v>
      </c>
      <c r="S129" s="15"/>
      <c r="T129" s="21">
        <f>+T42-T44+T124</f>
        <v>383924.58679124247</v>
      </c>
      <c r="U129" s="15"/>
      <c r="V129" s="22">
        <f>IF(T$12=0,0,T129/T$12)</f>
        <v>0.14918319245235107</v>
      </c>
      <c r="W129" s="16"/>
      <c r="X129" s="21">
        <f>+P129-T129</f>
        <v>437571.98320875783</v>
      </c>
      <c r="Y129" s="16"/>
      <c r="Z129" s="22">
        <f>IF(T129=0,0,X129/T129)</f>
        <v>1.1397342037036193</v>
      </c>
    </row>
    <row r="130" spans="1:26" ht="15" customHeight="1" x14ac:dyDescent="0.3">
      <c r="A130" s="10"/>
      <c r="B130" s="11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3" customFormat="1" ht="15" customHeight="1" x14ac:dyDescent="0.3">
      <c r="A131" s="49"/>
      <c r="B131" s="11" t="s">
        <v>293</v>
      </c>
      <c r="C131" s="11"/>
      <c r="D131" s="5">
        <v>54206.92</v>
      </c>
      <c r="E131" s="5"/>
      <c r="F131" s="13">
        <f>IF(D$12=0,0,D131/D$12)</f>
        <v>9.4112595407919414E-2</v>
      </c>
      <c r="G131" s="5"/>
      <c r="H131" s="5">
        <v>30324</v>
      </c>
      <c r="I131" s="5"/>
      <c r="J131" s="13">
        <f>IF(H$12=0,0,H131/H$12)</f>
        <v>9.9540441176470582E-2</v>
      </c>
      <c r="K131" s="5"/>
      <c r="L131" s="5">
        <f>+D131-H131</f>
        <v>23882.92</v>
      </c>
      <c r="M131" s="5"/>
      <c r="N131" s="13">
        <f>IF(H131=0,0,L131/H131)</f>
        <v>0.78759134678802267</v>
      </c>
      <c r="O131" s="11"/>
      <c r="P131" s="5">
        <v>364540.3</v>
      </c>
      <c r="Q131" s="5"/>
      <c r="R131" s="13">
        <f>IF(P$12=0,0,P131/P$12)</f>
        <v>0.1248227067211562</v>
      </c>
      <c r="S131" s="5"/>
      <c r="T131" s="5">
        <v>314606</v>
      </c>
      <c r="U131" s="5"/>
      <c r="V131" s="13">
        <f>IF(T$12=0,0,T131/T$12)</f>
        <v>0.12224777745267069</v>
      </c>
      <c r="W131" s="5"/>
      <c r="X131" s="5">
        <f>+P131-T131</f>
        <v>49934.299999999988</v>
      </c>
      <c r="Y131" s="5"/>
      <c r="Z131" s="13">
        <f>IF(T131=0,0,X131/T131)</f>
        <v>0.15872011341169587</v>
      </c>
    </row>
    <row r="132" spans="1:26" ht="15" customHeight="1" x14ac:dyDescent="0.3">
      <c r="A132" s="10"/>
      <c r="B132" s="11"/>
      <c r="C132" s="11"/>
      <c r="D132" s="4"/>
      <c r="E132" s="4"/>
      <c r="F132" s="9"/>
      <c r="G132" s="4"/>
      <c r="H132" s="4"/>
      <c r="I132" s="4"/>
      <c r="J132" s="9"/>
      <c r="K132" s="4"/>
      <c r="L132" s="4"/>
      <c r="M132" s="4"/>
      <c r="N132" s="9"/>
      <c r="O132" s="11"/>
      <c r="P132" s="4"/>
      <c r="Q132" s="4"/>
      <c r="R132" s="9"/>
      <c r="S132" s="4"/>
      <c r="T132" s="4"/>
      <c r="U132" s="4"/>
      <c r="V132" s="9"/>
      <c r="W132" s="4"/>
      <c r="X132" s="4"/>
      <c r="Y132" s="4"/>
      <c r="Z132" s="9"/>
    </row>
    <row r="133" spans="1:26" s="63" customFormat="1" ht="15" customHeight="1" x14ac:dyDescent="0.3">
      <c r="A133" s="11"/>
      <c r="B133" s="28" t="s">
        <v>294</v>
      </c>
      <c r="C133" s="28"/>
      <c r="D133" s="33">
        <f>+D129-D131</f>
        <v>139422.28000000009</v>
      </c>
      <c r="E133" s="15"/>
      <c r="F133" s="32">
        <f>IF(D$12=0,0,D133/D$12)</f>
        <v>0.24206120968484582</v>
      </c>
      <c r="G133" s="15"/>
      <c r="H133" s="33">
        <f>+H129-H131</f>
        <v>5254.0485661076818</v>
      </c>
      <c r="I133" s="15"/>
      <c r="J133" s="32">
        <f>IF(H$12=0,0,H133/H$12)</f>
        <v>1.7246745555763138E-2</v>
      </c>
      <c r="K133" s="16"/>
      <c r="L133" s="33">
        <f>D133-H133</f>
        <v>134168.23143389239</v>
      </c>
      <c r="M133" s="16"/>
      <c r="N133" s="32">
        <f>IF(H133=0,0,L133/H133)</f>
        <v>25.53616125655406</v>
      </c>
      <c r="O133" s="27"/>
      <c r="P133" s="33">
        <f>+P129-P131</f>
        <v>456956.27000000031</v>
      </c>
      <c r="Q133" s="15"/>
      <c r="R133" s="32">
        <f>IF(P$12=0,0,P133/P$12)</f>
        <v>0.15646697628383888</v>
      </c>
      <c r="S133" s="15"/>
      <c r="T133" s="33">
        <f>+T129-T131</f>
        <v>69318.586791242473</v>
      </c>
      <c r="U133" s="15"/>
      <c r="V133" s="32">
        <f>IF(T$12=0,0,T133/T$12)</f>
        <v>2.6935414999680388E-2</v>
      </c>
      <c r="W133" s="16"/>
      <c r="X133" s="33">
        <f>P133-T133</f>
        <v>387637.68320875784</v>
      </c>
      <c r="Y133" s="16"/>
      <c r="Z133" s="32">
        <f>IF(T133=0,0,X133/T133)</f>
        <v>5.5921175135343493</v>
      </c>
    </row>
    <row r="134" spans="1:26" ht="15" customHeight="1" x14ac:dyDescent="0.3">
      <c r="A134" s="10"/>
      <c r="B134" s="10"/>
      <c r="C134" s="10"/>
      <c r="D134" s="4"/>
      <c r="E134" s="4"/>
      <c r="F134" s="9"/>
      <c r="G134" s="4"/>
      <c r="H134" s="4"/>
      <c r="I134" s="4"/>
      <c r="J134" s="9"/>
      <c r="K134" s="4"/>
      <c r="L134" s="4"/>
      <c r="M134" s="4"/>
      <c r="N134" s="9"/>
      <c r="P134" s="4"/>
      <c r="Q134" s="4"/>
      <c r="R134" s="9"/>
      <c r="S134" s="4"/>
      <c r="T134" s="4"/>
      <c r="U134" s="4"/>
      <c r="V134" s="9"/>
      <c r="W134" s="4"/>
      <c r="X134" s="4"/>
      <c r="Y134" s="4"/>
      <c r="Z134" s="9"/>
    </row>
    <row r="135" spans="1:26" ht="15" customHeight="1" x14ac:dyDescent="0.3">
      <c r="A135" s="10"/>
      <c r="B135" s="10"/>
      <c r="C135" s="10"/>
      <c r="D135" s="4"/>
      <c r="E135" s="4"/>
      <c r="F135" s="9"/>
      <c r="G135" s="4"/>
      <c r="H135" s="4"/>
      <c r="I135" s="4"/>
      <c r="J135" s="9"/>
      <c r="K135" s="4"/>
      <c r="L135" s="4"/>
      <c r="M135" s="4"/>
      <c r="N135" s="9"/>
      <c r="P135" s="4"/>
      <c r="Q135" s="4"/>
      <c r="R135" s="9"/>
      <c r="S135" s="4"/>
      <c r="T135" s="4"/>
      <c r="U135" s="4"/>
      <c r="V135" s="9"/>
      <c r="W135" s="4"/>
      <c r="X135" s="4"/>
      <c r="Y135" s="4"/>
      <c r="Z135" s="9"/>
    </row>
    <row r="136" spans="1:26" s="63" customFormat="1" ht="15" customHeight="1" x14ac:dyDescent="0.3">
      <c r="A136" s="11"/>
      <c r="B136" s="28" t="s">
        <v>297</v>
      </c>
      <c r="C136" s="28"/>
      <c r="D136" s="34">
        <f>SUM(D133:D135)</f>
        <v>139422.28000000009</v>
      </c>
      <c r="E136" s="15"/>
      <c r="F136" s="30">
        <f>IF(D$12=0,0,D136/D$12)</f>
        <v>0.24206120968484582</v>
      </c>
      <c r="G136" s="15"/>
      <c r="H136" s="34">
        <f>SUM(H133:H135)</f>
        <v>5254.0485661076818</v>
      </c>
      <c r="I136" s="15"/>
      <c r="J136" s="30">
        <f>IF(H$12=0,0,H136/H$12)</f>
        <v>1.7246745555763138E-2</v>
      </c>
      <c r="K136" s="16"/>
      <c r="L136" s="34">
        <f>+D136-H136</f>
        <v>134168.23143389239</v>
      </c>
      <c r="M136" s="16"/>
      <c r="N136" s="30">
        <f>IF(H136=0,0,L136/H136)</f>
        <v>25.53616125655406</v>
      </c>
      <c r="O136" s="27"/>
      <c r="P136" s="34">
        <f>SUM(P133:P135)</f>
        <v>456956.27000000031</v>
      </c>
      <c r="Q136" s="15"/>
      <c r="R136" s="30">
        <f>IF(P$12=0,0,P136/P$12)</f>
        <v>0.15646697628383888</v>
      </c>
      <c r="S136" s="15"/>
      <c r="T136" s="34">
        <f>SUM(T133:T135)</f>
        <v>69318.586791242473</v>
      </c>
      <c r="U136" s="15"/>
      <c r="V136" s="30">
        <f>IF(T$12=0,0,T136/T$12)</f>
        <v>2.6935414999680388E-2</v>
      </c>
      <c r="W136" s="16"/>
      <c r="X136" s="34">
        <f>+P136-T136</f>
        <v>387637.68320875784</v>
      </c>
      <c r="Y136" s="16"/>
      <c r="Z136" s="30">
        <f>IF(T136=0,0,X136/T136)</f>
        <v>5.5921175135343493</v>
      </c>
    </row>
    <row r="137" spans="1:26" ht="15" customHeight="1" x14ac:dyDescent="0.3">
      <c r="A137" s="10"/>
      <c r="C137" s="10"/>
      <c r="D137" s="19"/>
      <c r="E137" s="19"/>
      <c r="G137" s="19"/>
      <c r="H137" s="19"/>
      <c r="I137" s="19"/>
      <c r="J137" s="41"/>
      <c r="K137" s="19"/>
      <c r="L137" s="19"/>
      <c r="M137" s="19"/>
      <c r="P137" s="19"/>
      <c r="Q137" s="19"/>
      <c r="R137" s="41"/>
      <c r="S137" s="19"/>
      <c r="T137" s="19"/>
      <c r="U137" s="19"/>
      <c r="V137" s="41"/>
      <c r="W137" s="19"/>
      <c r="X137" s="19"/>
    </row>
    <row r="138" spans="1:26" ht="15" customHeight="1" x14ac:dyDescent="0.3">
      <c r="A138" s="10"/>
      <c r="B138" s="57">
        <v>44634.883378009261</v>
      </c>
      <c r="D138" s="19"/>
      <c r="E138" s="19"/>
      <c r="G138" s="19"/>
      <c r="H138" s="19"/>
      <c r="I138" s="19"/>
      <c r="J138" s="41"/>
      <c r="K138" s="19"/>
      <c r="L138" s="19"/>
      <c r="M138" s="19"/>
      <c r="P138" s="19"/>
      <c r="Q138" s="19"/>
      <c r="R138" s="41"/>
      <c r="S138" s="19"/>
      <c r="T138" s="19"/>
      <c r="U138" s="19"/>
      <c r="V138" s="41"/>
      <c r="W138" s="19"/>
      <c r="X138" s="19"/>
    </row>
    <row r="139" spans="1:26" ht="15" customHeight="1" x14ac:dyDescent="0.3">
      <c r="A139" s="10"/>
      <c r="B139" s="56" t="s">
        <v>298</v>
      </c>
      <c r="D139" s="19"/>
      <c r="E139" s="19"/>
      <c r="G139" s="19"/>
      <c r="H139" s="19"/>
      <c r="I139" s="19"/>
      <c r="J139" s="41"/>
      <c r="K139" s="19"/>
      <c r="L139" s="19"/>
      <c r="M139" s="19"/>
      <c r="P139" s="19"/>
      <c r="Q139" s="19"/>
      <c r="R139" s="41"/>
      <c r="S139" s="19"/>
      <c r="T139" s="19"/>
      <c r="U139" s="19"/>
      <c r="V139" s="41"/>
      <c r="W139" s="19"/>
      <c r="X139" s="19"/>
    </row>
    <row r="140" spans="1:26" ht="15" customHeight="1" x14ac:dyDescent="0.3">
      <c r="A140" s="10"/>
      <c r="B140" s="54"/>
      <c r="D140" s="19"/>
      <c r="E140" s="19"/>
      <c r="G140" s="19"/>
      <c r="H140" s="19"/>
      <c r="I140" s="19"/>
      <c r="J140" s="41"/>
      <c r="K140" s="19"/>
      <c r="L140" s="19"/>
      <c r="M140" s="19"/>
      <c r="P140" s="19"/>
      <c r="Q140" s="19"/>
      <c r="R140" s="41"/>
      <c r="S140" s="19"/>
      <c r="T140" s="19"/>
      <c r="U140" s="19"/>
      <c r="V140" s="41"/>
      <c r="W140" s="19"/>
      <c r="X140" s="19"/>
    </row>
    <row r="141" spans="1:26" ht="15" customHeight="1" x14ac:dyDescent="0.3">
      <c r="D141" s="19"/>
      <c r="E141" s="19"/>
      <c r="G141" s="19"/>
      <c r="H141" s="19"/>
      <c r="I141" s="19"/>
      <c r="J141" s="41"/>
      <c r="K141" s="19"/>
      <c r="L141" s="19"/>
      <c r="M141" s="19"/>
      <c r="P141" s="19"/>
      <c r="Q141" s="19"/>
      <c r="R141" s="41"/>
      <c r="S141" s="19"/>
      <c r="T141" s="19"/>
      <c r="U141" s="19"/>
      <c r="V141" s="41"/>
      <c r="W141" s="19"/>
      <c r="X141" s="19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DFFD6-2CBD-9232-11A9-4E2850345189}">
  <sheetPr>
    <tabColor rgb="FF92D050"/>
    <outlinePr summaryBelow="0" summaryRight="0"/>
  </sheetPr>
  <dimension ref="A2:Z9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","307"," - ","Art Store")</f>
        <v>Department 307 - Art Store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43788.46</v>
      </c>
      <c r="E12" s="5"/>
      <c r="F12" s="13"/>
      <c r="G12" s="5"/>
      <c r="H12" s="5">
        <f>SUM(OSRRefH13x_0)</f>
        <v>64532</v>
      </c>
      <c r="I12" s="5"/>
      <c r="J12" s="13"/>
      <c r="K12" s="5"/>
      <c r="L12" s="5">
        <f>+D12-H12</f>
        <v>-20743.54</v>
      </c>
      <c r="M12" s="5"/>
      <c r="N12" s="13">
        <f>IF(H12=0,0,L12/H12)</f>
        <v>-0.32144579433459369</v>
      </c>
      <c r="O12" s="11"/>
      <c r="P12" s="5">
        <f>SUM(OSRRefP13x_0)</f>
        <v>143724.24000000002</v>
      </c>
      <c r="Q12" s="5"/>
      <c r="R12" s="13"/>
      <c r="S12" s="5"/>
      <c r="T12" s="5">
        <f>SUM(OSRRefT13x_0)</f>
        <v>387375</v>
      </c>
      <c r="U12" s="5"/>
      <c r="V12" s="13"/>
      <c r="W12" s="5"/>
      <c r="X12" s="5">
        <f>+P12-T12</f>
        <v>-243650.75999999998</v>
      </c>
      <c r="Y12" s="5"/>
      <c r="Z12" s="13">
        <f>IF(T12=0,0,X12/T12)</f>
        <v>-0.62897905130687315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--30152.61</f>
        <v>30152.61</v>
      </c>
      <c r="E13" s="3"/>
      <c r="F13" s="20"/>
      <c r="G13" s="3"/>
      <c r="H13" s="3">
        <v>41299</v>
      </c>
      <c r="I13" s="3"/>
      <c r="J13" s="20"/>
      <c r="K13" s="3"/>
      <c r="L13" s="3">
        <f>+D13-H13</f>
        <v>-11146.39</v>
      </c>
      <c r="M13" s="3"/>
      <c r="N13" s="20">
        <f>IF(H13=0,0,L13/H13)</f>
        <v>-0.2698949127097508</v>
      </c>
      <c r="O13" s="12"/>
      <c r="P13" s="3">
        <f>--105691.21</f>
        <v>105691.21</v>
      </c>
      <c r="Q13" s="3"/>
      <c r="R13" s="20"/>
      <c r="S13" s="3"/>
      <c r="T13" s="3">
        <v>265970</v>
      </c>
      <c r="U13" s="3"/>
      <c r="V13" s="20"/>
      <c r="W13" s="3"/>
      <c r="X13" s="3">
        <f>+P13-T13</f>
        <v>-160278.78999999998</v>
      </c>
      <c r="Y13" s="3"/>
      <c r="Z13" s="20">
        <f>IF(T13=0,0,X13/T13)</f>
        <v>-0.6026198067451215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--14257.33</f>
        <v>14257.33</v>
      </c>
      <c r="E14" s="3"/>
      <c r="F14" s="20"/>
      <c r="G14" s="3"/>
      <c r="H14" s="3">
        <v>23233</v>
      </c>
      <c r="I14" s="3"/>
      <c r="J14" s="20"/>
      <c r="K14" s="3"/>
      <c r="L14" s="3">
        <f>+D14-H14</f>
        <v>-8975.67</v>
      </c>
      <c r="M14" s="3"/>
      <c r="N14" s="20">
        <f>IF(H14=0,0,L14/H14)</f>
        <v>-0.38633280247923213</v>
      </c>
      <c r="O14" s="12"/>
      <c r="P14" s="3">
        <f>--41578.54</f>
        <v>41578.54</v>
      </c>
      <c r="Q14" s="3"/>
      <c r="R14" s="20"/>
      <c r="S14" s="3"/>
      <c r="T14" s="3">
        <v>121405</v>
      </c>
      <c r="U14" s="3"/>
      <c r="V14" s="20"/>
      <c r="W14" s="3"/>
      <c r="X14" s="3">
        <f>+P14-T14</f>
        <v>-79826.459999999992</v>
      </c>
      <c r="Y14" s="3"/>
      <c r="Z14" s="20">
        <f>IF(T14=0,0,X14/T14)</f>
        <v>-0.65752201309665992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-455.26</f>
        <v>-455.26</v>
      </c>
      <c r="E15" s="3"/>
      <c r="F15" s="20"/>
      <c r="G15" s="3"/>
      <c r="H15" s="3"/>
      <c r="I15" s="3"/>
      <c r="J15" s="20"/>
      <c r="K15" s="3"/>
      <c r="L15" s="3">
        <f>+D15-H15</f>
        <v>-455.26</v>
      </c>
      <c r="M15" s="3"/>
      <c r="N15" s="20">
        <f>IF(H15=0,0,L15/H15)</f>
        <v>0</v>
      </c>
      <c r="O15" s="12"/>
      <c r="P15" s="3">
        <f>-1673.11</f>
        <v>-1673.11</v>
      </c>
      <c r="Q15" s="3"/>
      <c r="R15" s="20"/>
      <c r="S15" s="3"/>
      <c r="T15" s="3"/>
      <c r="U15" s="3"/>
      <c r="V15" s="20"/>
      <c r="W15" s="3"/>
      <c r="X15" s="3">
        <f>+P15-T15</f>
        <v>-1673.11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","4500"," - ","SALES DISCOUNT")</f>
        <v xml:space="preserve">          4500 - SALES DISCOUNT</v>
      </c>
      <c r="C16" s="12"/>
      <c r="D16" s="3">
        <f>-166.22</f>
        <v>-166.22</v>
      </c>
      <c r="E16" s="3"/>
      <c r="F16" s="20"/>
      <c r="G16" s="3"/>
      <c r="H16" s="3"/>
      <c r="I16" s="3"/>
      <c r="J16" s="20"/>
      <c r="K16" s="3"/>
      <c r="L16" s="3">
        <f>+D16-H16</f>
        <v>-166.22</v>
      </c>
      <c r="M16" s="3"/>
      <c r="N16" s="20">
        <f>IF(H16=0,0,L16/H16)</f>
        <v>0</v>
      </c>
      <c r="O16" s="12"/>
      <c r="P16" s="3">
        <f>-1872.4</f>
        <v>-1872.4</v>
      </c>
      <c r="Q16" s="3"/>
      <c r="R16" s="20"/>
      <c r="S16" s="3"/>
      <c r="T16" s="3"/>
      <c r="U16" s="3"/>
      <c r="V16" s="20"/>
      <c r="W16" s="3"/>
      <c r="X16" s="3">
        <f>+P16-T16</f>
        <v>-1872.4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24480.45</v>
      </c>
      <c r="E18" s="5"/>
      <c r="F18" s="13">
        <f t="shared" ref="F18:F28" si="0">IF(D$12=0,0,D18/D$12)</f>
        <v>0.55906167972109544</v>
      </c>
      <c r="G18" s="5"/>
      <c r="H18" s="5">
        <f>SUM(OSRRefH16x_0)</f>
        <v>35964</v>
      </c>
      <c r="I18" s="5"/>
      <c r="J18" s="13">
        <f t="shared" ref="J18:J28" si="1">IF(H$12=0,0,H18/H$12)</f>
        <v>0.55730490299386348</v>
      </c>
      <c r="K18" s="5"/>
      <c r="L18" s="5">
        <f t="shared" ref="L18:L28" si="2">+D18-H18</f>
        <v>-11483.55</v>
      </c>
      <c r="M18" s="5"/>
      <c r="N18" s="13">
        <f t="shared" ref="N18:N28" si="3">IF(H18=0,0,L18/H18)</f>
        <v>-0.31930680680680679</v>
      </c>
      <c r="O18" s="11"/>
      <c r="P18" s="5">
        <f>SUM(OSRRefP16x_0)</f>
        <v>81718.94</v>
      </c>
      <c r="Q18" s="5"/>
      <c r="R18" s="13">
        <f t="shared" ref="R18:R28" si="4">IF(P$12=0,0,P18/P$12)</f>
        <v>0.56858147240855117</v>
      </c>
      <c r="S18" s="5"/>
      <c r="T18" s="5">
        <f>SUM(OSRRefT16x_0)</f>
        <v>219215</v>
      </c>
      <c r="U18" s="5"/>
      <c r="V18" s="13">
        <f t="shared" ref="V18:V28" si="5">IF(T$12=0,0,T18/T$12)</f>
        <v>0.56589867699257823</v>
      </c>
      <c r="W18" s="5"/>
      <c r="X18" s="5">
        <f t="shared" ref="X18:X28" si="6">+P18-T18</f>
        <v>-137496.06</v>
      </c>
      <c r="Y18" s="5"/>
      <c r="Z18" s="13">
        <f t="shared" ref="Z18:Z28" si="7">IF(T18=0,0,X18/T18)</f>
        <v>-0.62722012635996627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5459.01</v>
      </c>
      <c r="E19" s="3"/>
      <c r="F19" s="20">
        <f t="shared" si="0"/>
        <v>0.12466777776610551</v>
      </c>
      <c r="G19" s="3"/>
      <c r="H19" s="3">
        <v>35964</v>
      </c>
      <c r="I19" s="3"/>
      <c r="J19" s="20">
        <f t="shared" si="1"/>
        <v>0.55730490299386348</v>
      </c>
      <c r="K19" s="3"/>
      <c r="L19" s="3">
        <f t="shared" si="2"/>
        <v>-30504.989999999998</v>
      </c>
      <c r="M19" s="3"/>
      <c r="N19" s="20">
        <f t="shared" si="3"/>
        <v>-0.84820904237570893</v>
      </c>
      <c r="O19" s="12"/>
      <c r="P19" s="3">
        <v>107666.44</v>
      </c>
      <c r="Q19" s="3"/>
      <c r="R19" s="20">
        <f t="shared" si="4"/>
        <v>0.74911817241127865</v>
      </c>
      <c r="S19" s="3"/>
      <c r="T19" s="3">
        <v>219215</v>
      </c>
      <c r="U19" s="3"/>
      <c r="V19" s="20">
        <f t="shared" si="5"/>
        <v>0.56589867699257823</v>
      </c>
      <c r="W19" s="3"/>
      <c r="X19" s="3">
        <f t="shared" si="6"/>
        <v>-111548.56</v>
      </c>
      <c r="Y19" s="3"/>
      <c r="Z19" s="20">
        <f t="shared" si="7"/>
        <v>-0.50885459480418771</v>
      </c>
    </row>
    <row r="20" spans="1:26" s="70" customFormat="1" ht="15" hidden="1" customHeight="1" outlineLevel="1" x14ac:dyDescent="0.3">
      <c r="A20" s="42"/>
      <c r="B20" s="12" t="str">
        <f>CONCATENATE("          ","5026"," - ","PURCHASES @ COST-WRITING INSTR")</f>
        <v xml:space="preserve">          5026 - PURCHASES @ COST-WRITING INSTR</v>
      </c>
      <c r="C20" s="12"/>
      <c r="D20" s="3"/>
      <c r="E20" s="3"/>
      <c r="F20" s="20">
        <f t="shared" si="0"/>
        <v>0</v>
      </c>
      <c r="G20" s="3"/>
      <c r="H20" s="3"/>
      <c r="I20" s="3"/>
      <c r="J20" s="20">
        <f t="shared" si="1"/>
        <v>0</v>
      </c>
      <c r="K20" s="3"/>
      <c r="L20" s="3">
        <f t="shared" si="2"/>
        <v>0</v>
      </c>
      <c r="M20" s="3"/>
      <c r="N20" s="20">
        <f t="shared" si="3"/>
        <v>0</v>
      </c>
      <c r="O20" s="12"/>
      <c r="P20" s="3">
        <v>0</v>
      </c>
      <c r="Q20" s="3"/>
      <c r="R20" s="20">
        <f t="shared" si="4"/>
        <v>0</v>
      </c>
      <c r="S20" s="3"/>
      <c r="T20" s="3"/>
      <c r="U20" s="3"/>
      <c r="V20" s="20">
        <f t="shared" si="5"/>
        <v>0</v>
      </c>
      <c r="W20" s="3"/>
      <c r="X20" s="3">
        <f t="shared" si="6"/>
        <v>0</v>
      </c>
      <c r="Y20" s="3"/>
      <c r="Z20" s="20">
        <f t="shared" si="7"/>
        <v>0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0"/>
        <v>0</v>
      </c>
      <c r="G21" s="3"/>
      <c r="H21" s="3"/>
      <c r="I21" s="3"/>
      <c r="J21" s="20">
        <f t="shared" si="1"/>
        <v>0</v>
      </c>
      <c r="K21" s="3"/>
      <c r="L21" s="3">
        <f t="shared" si="2"/>
        <v>0</v>
      </c>
      <c r="M21" s="3"/>
      <c r="N21" s="20">
        <f t="shared" si="3"/>
        <v>0</v>
      </c>
      <c r="O21" s="12"/>
      <c r="P21" s="3">
        <v>0</v>
      </c>
      <c r="Q21" s="3"/>
      <c r="R21" s="20">
        <f t="shared" si="4"/>
        <v>0</v>
      </c>
      <c r="S21" s="3"/>
      <c r="T21" s="3"/>
      <c r="U21" s="3"/>
      <c r="V21" s="20">
        <f t="shared" si="5"/>
        <v>0</v>
      </c>
      <c r="W21" s="3"/>
      <c r="X21" s="3">
        <f t="shared" si="6"/>
        <v>0</v>
      </c>
      <c r="Y21" s="3"/>
      <c r="Z21" s="20">
        <f t="shared" si="7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0"/>
        <v>0</v>
      </c>
      <c r="G22" s="3"/>
      <c r="H22" s="3"/>
      <c r="I22" s="3"/>
      <c r="J22" s="20">
        <f t="shared" si="1"/>
        <v>0</v>
      </c>
      <c r="K22" s="3"/>
      <c r="L22" s="3">
        <f t="shared" si="2"/>
        <v>0</v>
      </c>
      <c r="M22" s="3"/>
      <c r="N22" s="20">
        <f t="shared" si="3"/>
        <v>0</v>
      </c>
      <c r="O22" s="12"/>
      <c r="P22" s="3">
        <v>0</v>
      </c>
      <c r="Q22" s="3"/>
      <c r="R22" s="20">
        <f t="shared" si="4"/>
        <v>0</v>
      </c>
      <c r="S22" s="3"/>
      <c r="T22" s="3"/>
      <c r="U22" s="3"/>
      <c r="V22" s="20">
        <f t="shared" si="5"/>
        <v>0</v>
      </c>
      <c r="W22" s="3"/>
      <c r="X22" s="3">
        <f t="shared" si="6"/>
        <v>0</v>
      </c>
      <c r="Y22" s="3"/>
      <c r="Z22" s="20">
        <f t="shared" si="7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0"/>
        <v>0</v>
      </c>
      <c r="G23" s="3"/>
      <c r="H23" s="3"/>
      <c r="I23" s="3"/>
      <c r="J23" s="20">
        <f t="shared" si="1"/>
        <v>0</v>
      </c>
      <c r="K23" s="3"/>
      <c r="L23" s="3">
        <f t="shared" si="2"/>
        <v>0</v>
      </c>
      <c r="M23" s="3"/>
      <c r="N23" s="20">
        <f t="shared" si="3"/>
        <v>0</v>
      </c>
      <c r="O23" s="12"/>
      <c r="P23" s="3">
        <v>0</v>
      </c>
      <c r="Q23" s="3"/>
      <c r="R23" s="20">
        <f t="shared" si="4"/>
        <v>0</v>
      </c>
      <c r="S23" s="3"/>
      <c r="T23" s="3"/>
      <c r="U23" s="3"/>
      <c r="V23" s="20">
        <f t="shared" si="5"/>
        <v>0</v>
      </c>
      <c r="W23" s="3"/>
      <c r="X23" s="3">
        <f t="shared" si="6"/>
        <v>0</v>
      </c>
      <c r="Y23" s="3"/>
      <c r="Z23" s="20">
        <f t="shared" si="7"/>
        <v>0</v>
      </c>
    </row>
    <row r="24" spans="1:26" s="70" customFormat="1" ht="15" hidden="1" customHeight="1" outlineLevel="1" x14ac:dyDescent="0.3">
      <c r="A24" s="42"/>
      <c r="B24" s="12" t="str">
        <f>CONCATENATE("          ","5042"," - ","PURCHASES @ COST-EVERYDAY GIFT")</f>
        <v xml:space="preserve">          5042 - PURCHASES @ COST-EVERYDAY GIFT</v>
      </c>
      <c r="C24" s="12"/>
      <c r="D24" s="3"/>
      <c r="E24" s="3"/>
      <c r="F24" s="20">
        <f t="shared" si="0"/>
        <v>0</v>
      </c>
      <c r="G24" s="3"/>
      <c r="H24" s="3"/>
      <c r="I24" s="3"/>
      <c r="J24" s="20">
        <f t="shared" si="1"/>
        <v>0</v>
      </c>
      <c r="K24" s="3"/>
      <c r="L24" s="3">
        <f t="shared" si="2"/>
        <v>0</v>
      </c>
      <c r="M24" s="3"/>
      <c r="N24" s="20">
        <f t="shared" si="3"/>
        <v>0</v>
      </c>
      <c r="O24" s="12"/>
      <c r="P24" s="3">
        <v>0</v>
      </c>
      <c r="Q24" s="3"/>
      <c r="R24" s="20">
        <f t="shared" si="4"/>
        <v>0</v>
      </c>
      <c r="S24" s="3"/>
      <c r="T24" s="3"/>
      <c r="U24" s="3"/>
      <c r="V24" s="20">
        <f t="shared" si="5"/>
        <v>0</v>
      </c>
      <c r="W24" s="3"/>
      <c r="X24" s="3">
        <f t="shared" si="6"/>
        <v>0</v>
      </c>
      <c r="Y24" s="3"/>
      <c r="Z24" s="20">
        <f t="shared" si="7"/>
        <v>0</v>
      </c>
    </row>
    <row r="25" spans="1:26" s="70" customFormat="1" ht="15" hidden="1" customHeight="1" outlineLevel="1" x14ac:dyDescent="0.3">
      <c r="A25" s="42"/>
      <c r="B25" s="12" t="str">
        <f>CONCATENATE("          ","5200"," - ","PURCHASES OFFSET")</f>
        <v xml:space="preserve">          5200 - PURCHASES OFFSET</v>
      </c>
      <c r="C25" s="12"/>
      <c r="D25" s="3">
        <v>-5459.01</v>
      </c>
      <c r="E25" s="3"/>
      <c r="F25" s="20">
        <f t="shared" si="0"/>
        <v>-0.12466777776610551</v>
      </c>
      <c r="G25" s="3"/>
      <c r="H25" s="3"/>
      <c r="I25" s="3"/>
      <c r="J25" s="20">
        <f t="shared" si="1"/>
        <v>0</v>
      </c>
      <c r="K25" s="3"/>
      <c r="L25" s="3">
        <f t="shared" si="2"/>
        <v>-5459.01</v>
      </c>
      <c r="M25" s="3"/>
      <c r="N25" s="20">
        <f t="shared" si="3"/>
        <v>0</v>
      </c>
      <c r="O25" s="12"/>
      <c r="P25" s="3">
        <v>-108794.14</v>
      </c>
      <c r="Q25" s="3"/>
      <c r="R25" s="20">
        <f t="shared" si="4"/>
        <v>-0.75696444802908669</v>
      </c>
      <c r="S25" s="3"/>
      <c r="T25" s="3"/>
      <c r="U25" s="3"/>
      <c r="V25" s="20">
        <f t="shared" si="5"/>
        <v>0</v>
      </c>
      <c r="W25" s="3"/>
      <c r="X25" s="3">
        <f t="shared" si="6"/>
        <v>-108794.14</v>
      </c>
      <c r="Y25" s="3"/>
      <c r="Z25" s="20">
        <f t="shared" si="7"/>
        <v>0</v>
      </c>
    </row>
    <row r="26" spans="1:26" s="70" customFormat="1" ht="15" hidden="1" customHeight="1" outlineLevel="1" x14ac:dyDescent="0.3">
      <c r="A26" s="42"/>
      <c r="B26" s="12" t="str">
        <f>CONCATENATE("          ","5300"," - ","COG$ OFFSET")</f>
        <v xml:space="preserve">          5300 - COG$ OFFSET</v>
      </c>
      <c r="C26" s="12"/>
      <c r="D26" s="3">
        <v>24480.45</v>
      </c>
      <c r="E26" s="3"/>
      <c r="F26" s="20">
        <f t="shared" si="0"/>
        <v>0.55906167972109544</v>
      </c>
      <c r="G26" s="3"/>
      <c r="H26" s="3"/>
      <c r="I26" s="3"/>
      <c r="J26" s="20">
        <f t="shared" si="1"/>
        <v>0</v>
      </c>
      <c r="K26" s="3"/>
      <c r="L26" s="3">
        <f t="shared" si="2"/>
        <v>24480.45</v>
      </c>
      <c r="M26" s="3"/>
      <c r="N26" s="20">
        <f t="shared" si="3"/>
        <v>0</v>
      </c>
      <c r="O26" s="12"/>
      <c r="P26" s="3">
        <v>81718.94</v>
      </c>
      <c r="Q26" s="3"/>
      <c r="R26" s="20">
        <f t="shared" si="4"/>
        <v>0.56858147240855117</v>
      </c>
      <c r="S26" s="3"/>
      <c r="T26" s="3"/>
      <c r="U26" s="3"/>
      <c r="V26" s="20">
        <f t="shared" si="5"/>
        <v>0</v>
      </c>
      <c r="W26" s="3"/>
      <c r="X26" s="3">
        <f t="shared" si="6"/>
        <v>81718.94</v>
      </c>
      <c r="Y26" s="3"/>
      <c r="Z26" s="20">
        <f t="shared" si="7"/>
        <v>0</v>
      </c>
    </row>
    <row r="27" spans="1:26" s="70" customFormat="1" ht="15" hidden="1" customHeight="1" outlineLevel="1" x14ac:dyDescent="0.3">
      <c r="A27" s="42"/>
      <c r="B27" s="12" t="str">
        <f>CONCATENATE("          ","5500"," - ","FREIGHT-IN")</f>
        <v xml:space="preserve">          5500 - FREIGHT-IN</v>
      </c>
      <c r="C27" s="12"/>
      <c r="D27" s="3"/>
      <c r="E27" s="3"/>
      <c r="F27" s="20">
        <f t="shared" si="0"/>
        <v>0</v>
      </c>
      <c r="G27" s="3"/>
      <c r="H27" s="3"/>
      <c r="I27" s="3"/>
      <c r="J27" s="20">
        <f t="shared" si="1"/>
        <v>0</v>
      </c>
      <c r="K27" s="3"/>
      <c r="L27" s="3">
        <f t="shared" si="2"/>
        <v>0</v>
      </c>
      <c r="M27" s="3"/>
      <c r="N27" s="20">
        <f t="shared" si="3"/>
        <v>0</v>
      </c>
      <c r="O27" s="12"/>
      <c r="P27" s="3">
        <v>1127.7</v>
      </c>
      <c r="Q27" s="3"/>
      <c r="R27" s="20">
        <f t="shared" si="4"/>
        <v>7.8462756178081013E-3</v>
      </c>
      <c r="S27" s="3"/>
      <c r="T27" s="3"/>
      <c r="U27" s="3"/>
      <c r="V27" s="20">
        <f t="shared" si="5"/>
        <v>0</v>
      </c>
      <c r="W27" s="3"/>
      <c r="X27" s="3">
        <f t="shared" si="6"/>
        <v>1127.7</v>
      </c>
      <c r="Y27" s="3"/>
      <c r="Z27" s="20">
        <f t="shared" si="7"/>
        <v>0</v>
      </c>
    </row>
    <row r="28" spans="1:26" s="70" customFormat="1" ht="15" hidden="1" customHeight="1" outlineLevel="1" x14ac:dyDescent="0.3">
      <c r="A28" s="42"/>
      <c r="B28" s="12" t="str">
        <f>CONCATENATE("          ","5528"," - ","FREIGHT-IN-ART/TECH")</f>
        <v xml:space="preserve">          5528 - FREIGHT-IN-ART/TECH</v>
      </c>
      <c r="C28" s="12"/>
      <c r="D28" s="3"/>
      <c r="E28" s="3"/>
      <c r="F28" s="20">
        <f t="shared" si="0"/>
        <v>0</v>
      </c>
      <c r="G28" s="3"/>
      <c r="H28" s="3"/>
      <c r="I28" s="3"/>
      <c r="J28" s="20">
        <f t="shared" si="1"/>
        <v>0</v>
      </c>
      <c r="K28" s="3"/>
      <c r="L28" s="3">
        <f t="shared" si="2"/>
        <v>0</v>
      </c>
      <c r="M28" s="3"/>
      <c r="N28" s="20">
        <f t="shared" si="3"/>
        <v>0</v>
      </c>
      <c r="O28" s="12"/>
      <c r="P28" s="3">
        <v>0</v>
      </c>
      <c r="Q28" s="3"/>
      <c r="R28" s="20">
        <f t="shared" si="4"/>
        <v>0</v>
      </c>
      <c r="S28" s="3"/>
      <c r="T28" s="3"/>
      <c r="U28" s="3"/>
      <c r="V28" s="20">
        <f t="shared" si="5"/>
        <v>0</v>
      </c>
      <c r="W28" s="3"/>
      <c r="X28" s="3">
        <f t="shared" si="6"/>
        <v>0</v>
      </c>
      <c r="Y28" s="3"/>
      <c r="Z28" s="20">
        <f t="shared" si="7"/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8" t="s">
        <v>289</v>
      </c>
      <c r="C30" s="28"/>
      <c r="D30" s="21">
        <f>D12-D18</f>
        <v>19308.009999999998</v>
      </c>
      <c r="E30" s="15"/>
      <c r="F30" s="22">
        <f>IF(D$12=0,0,D30/D$12)</f>
        <v>0.44093832027890451</v>
      </c>
      <c r="G30" s="15"/>
      <c r="H30" s="21">
        <f>H12-H18</f>
        <v>28568</v>
      </c>
      <c r="I30" s="15"/>
      <c r="J30" s="22">
        <f>IF(H$12=0,0,H30/H$12)</f>
        <v>0.44269509700613652</v>
      </c>
      <c r="K30" s="16"/>
      <c r="L30" s="21">
        <f>+D30-H30</f>
        <v>-9259.9900000000016</v>
      </c>
      <c r="M30" s="16"/>
      <c r="N30" s="22">
        <f>IF(H30=0,0,L30/H30)</f>
        <v>-0.3241385466255951</v>
      </c>
      <c r="O30" s="27"/>
      <c r="P30" s="21">
        <f>P12-P18</f>
        <v>62005.300000000017</v>
      </c>
      <c r="Q30" s="15"/>
      <c r="R30" s="22">
        <f>IF(P$12=0,0,P30/P$12)</f>
        <v>0.43141852759144877</v>
      </c>
      <c r="S30" s="15"/>
      <c r="T30" s="21">
        <f>T12-T18</f>
        <v>168160</v>
      </c>
      <c r="U30" s="15"/>
      <c r="V30" s="22">
        <f>IF(T$12=0,0,T30/T$12)</f>
        <v>0.43410132300742177</v>
      </c>
      <c r="W30" s="16"/>
      <c r="X30" s="21">
        <f>+P30-T30</f>
        <v>-106154.69999999998</v>
      </c>
      <c r="Y30" s="16"/>
      <c r="Z30" s="22">
        <f>IF(T30=0,0,X30/T30)</f>
        <v>-0.63127200285442431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5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3" customFormat="1" ht="15" customHeight="1" x14ac:dyDescent="0.3">
      <c r="A32" s="11"/>
      <c r="B32" s="27" t="s">
        <v>290</v>
      </c>
      <c r="C32" s="11"/>
      <c r="D32" s="23" cm="1">
        <f t="array" ref="D32">SUM(OSRRefD22x_0)</f>
        <v>7086.5800000000008</v>
      </c>
      <c r="E32" s="23"/>
      <c r="F32" s="29">
        <f t="shared" ref="F32:F63" si="8">IF(D$12=0,0,D32/D$12)</f>
        <v>0.16183670309483369</v>
      </c>
      <c r="G32" s="23"/>
      <c r="H32" s="23" cm="1">
        <f t="array" ref="H32">SUM(OSRRefH22x_0)</f>
        <v>11279.848692</v>
      </c>
      <c r="I32" s="23"/>
      <c r="J32" s="29">
        <f t="shared" ref="J32:J63" si="9">IF(H$12=0,0,H32/H$12)</f>
        <v>0.17479465524081075</v>
      </c>
      <c r="K32" s="5"/>
      <c r="L32" s="23">
        <f t="shared" ref="L32:L63" si="10">+D32-H32</f>
        <v>-4193.2686919999987</v>
      </c>
      <c r="M32" s="5"/>
      <c r="N32" s="29">
        <f t="shared" ref="N32:N63" si="11">IF(H32=0,0,L32/H32)</f>
        <v>-0.3717486649421094</v>
      </c>
      <c r="O32" s="11"/>
      <c r="P32" s="23" cm="1">
        <f t="array" ref="P32">SUM(OSRRefP22x_0)</f>
        <v>41211.299999999996</v>
      </c>
      <c r="Q32" s="23"/>
      <c r="R32" s="29">
        <f t="shared" ref="R32:R63" si="12">IF(P$12=0,0,P32/P$12)</f>
        <v>0.2867386879207014</v>
      </c>
      <c r="S32" s="23"/>
      <c r="T32" s="23" cm="1">
        <f t="array" ref="T32">SUM(OSRRefT22x_0)</f>
        <v>91956.448307000013</v>
      </c>
      <c r="U32" s="23"/>
      <c r="V32" s="29">
        <f t="shared" ref="V32:V63" si="13">IF(T$12=0,0,T32/T$12)</f>
        <v>0.23738353870797035</v>
      </c>
      <c r="W32" s="5"/>
      <c r="X32" s="23">
        <f t="shared" ref="X32:X63" si="14">+P32-T32</f>
        <v>-50745.148307000018</v>
      </c>
      <c r="Y32" s="5"/>
      <c r="Z32" s="29">
        <f t="shared" ref="Z32:Z63" si="15">IF(T32=0,0,X32/T32)</f>
        <v>-0.55183893289990338</v>
      </c>
    </row>
    <row r="33" spans="1:26" s="69" customFormat="1" ht="15" customHeight="1" outlineLevel="1" collapsed="1" x14ac:dyDescent="0.3">
      <c r="A33" s="25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161.65</v>
      </c>
      <c r="E33" s="2"/>
      <c r="F33" s="6">
        <f t="shared" si="8"/>
        <v>3.6916118995735407E-3</v>
      </c>
      <c r="G33" s="2"/>
      <c r="H33" s="2">
        <f>SUM(OSRRefH22_0x_0)</f>
        <v>613.76869199999999</v>
      </c>
      <c r="I33" s="2"/>
      <c r="J33" s="6">
        <f t="shared" si="9"/>
        <v>9.5110750015496189E-3</v>
      </c>
      <c r="K33" s="2"/>
      <c r="L33" s="2">
        <f t="shared" si="10"/>
        <v>-452.11869200000001</v>
      </c>
      <c r="M33" s="2"/>
      <c r="N33" s="6">
        <f t="shared" si="11"/>
        <v>-0.73662716572711728</v>
      </c>
      <c r="O33" s="14"/>
      <c r="P33" s="2">
        <f>SUM(OSRRefP22_0x_0)</f>
        <v>654.37</v>
      </c>
      <c r="Q33" s="2"/>
      <c r="R33" s="6">
        <f t="shared" si="12"/>
        <v>4.5529550199743616E-3</v>
      </c>
      <c r="S33" s="2"/>
      <c r="T33" s="2">
        <f>SUM(OSRRefT22_0x_0)</f>
        <v>6180.5183070000003</v>
      </c>
      <c r="U33" s="2"/>
      <c r="V33" s="6">
        <f t="shared" si="13"/>
        <v>1.5954871395934173E-2</v>
      </c>
      <c r="W33" s="2"/>
      <c r="X33" s="2">
        <f t="shared" si="14"/>
        <v>-5526.1483070000004</v>
      </c>
      <c r="Y33" s="2"/>
      <c r="Z33" s="6">
        <f t="shared" si="15"/>
        <v>-0.89412376640663516</v>
      </c>
    </row>
    <row r="34" spans="1:26" s="70" customFormat="1" ht="15" hidden="1" customHeight="1" outlineLevel="2" x14ac:dyDescent="0.3">
      <c r="A34" s="26"/>
      <c r="B34" s="12" t="str">
        <f>CONCATENATE("          ","6111"," - ","F.I.C.A.")</f>
        <v xml:space="preserve">          6111 - F.I.C.A.</v>
      </c>
      <c r="C34" s="12"/>
      <c r="D34" s="8">
        <v>72.290000000000006</v>
      </c>
      <c r="E34" s="3"/>
      <c r="F34" s="7">
        <f t="shared" si="8"/>
        <v>1.6508915819373417E-3</v>
      </c>
      <c r="G34" s="3"/>
      <c r="H34" s="8">
        <v>157.223232</v>
      </c>
      <c r="I34" s="3"/>
      <c r="J34" s="7">
        <f t="shared" si="9"/>
        <v>2.4363607512551911E-3</v>
      </c>
      <c r="K34" s="3"/>
      <c r="L34" s="8">
        <f t="shared" si="10"/>
        <v>-84.93323199999999</v>
      </c>
      <c r="M34" s="3"/>
      <c r="N34" s="7">
        <f t="shared" si="11"/>
        <v>-0.54020790006403119</v>
      </c>
      <c r="O34" s="12"/>
      <c r="P34" s="8">
        <v>186.21</v>
      </c>
      <c r="Q34" s="3"/>
      <c r="R34" s="7">
        <f t="shared" si="12"/>
        <v>1.2956060856540274E-3</v>
      </c>
      <c r="S34" s="3"/>
      <c r="T34" s="8">
        <v>2379.8840220000002</v>
      </c>
      <c r="U34" s="3"/>
      <c r="V34" s="7">
        <f t="shared" si="13"/>
        <v>6.1436179980638925E-3</v>
      </c>
      <c r="W34" s="3"/>
      <c r="X34" s="8">
        <f t="shared" si="14"/>
        <v>-2193.6740220000002</v>
      </c>
      <c r="Y34" s="3"/>
      <c r="Z34" s="7">
        <f t="shared" si="15"/>
        <v>-0.92175669138552663</v>
      </c>
    </row>
    <row r="35" spans="1:26" s="70" customFormat="1" ht="15" hidden="1" customHeight="1" outlineLevel="2" x14ac:dyDescent="0.3">
      <c r="A35" s="26"/>
      <c r="B35" s="12" t="str">
        <f>CONCATENATE("          ","6112"," - ","COMPENSATION INSURANCE")</f>
        <v xml:space="preserve">          6112 - COMPENSATION INSURANCE</v>
      </c>
      <c r="C35" s="12"/>
      <c r="D35" s="8">
        <v>76.010000000000005</v>
      </c>
      <c r="E35" s="3"/>
      <c r="F35" s="7">
        <f t="shared" si="8"/>
        <v>1.7358454716151243E-3</v>
      </c>
      <c r="G35" s="3"/>
      <c r="H35" s="8">
        <v>135.87288000000001</v>
      </c>
      <c r="I35" s="3"/>
      <c r="J35" s="7">
        <f t="shared" si="9"/>
        <v>2.1055116841257053E-3</v>
      </c>
      <c r="K35" s="3"/>
      <c r="L35" s="8">
        <f t="shared" si="10"/>
        <v>-59.862880000000004</v>
      </c>
      <c r="M35" s="3"/>
      <c r="N35" s="7">
        <f t="shared" si="11"/>
        <v>-0.44058004805668355</v>
      </c>
      <c r="O35" s="12"/>
      <c r="P35" s="8">
        <v>398.21</v>
      </c>
      <c r="Q35" s="3"/>
      <c r="R35" s="7">
        <f t="shared" si="12"/>
        <v>2.7706530227608085E-3</v>
      </c>
      <c r="S35" s="3"/>
      <c r="T35" s="8">
        <v>1131.10998</v>
      </c>
      <c r="U35" s="3"/>
      <c r="V35" s="7">
        <f t="shared" si="13"/>
        <v>2.9199354114230395E-3</v>
      </c>
      <c r="W35" s="3"/>
      <c r="X35" s="8">
        <f t="shared" si="14"/>
        <v>-732.89997999999991</v>
      </c>
      <c r="Y35" s="3"/>
      <c r="Z35" s="7">
        <f t="shared" si="15"/>
        <v>-0.64794758507921568</v>
      </c>
    </row>
    <row r="36" spans="1:26" s="70" customFormat="1" ht="15" hidden="1" customHeight="1" outlineLevel="2" x14ac:dyDescent="0.3">
      <c r="A36" s="26"/>
      <c r="B36" s="12" t="str">
        <f>CONCATENATE("          ","6113"," - ","GROUP INSURANCE")</f>
        <v xml:space="preserve">          6113 - GROUP INSURANCE</v>
      </c>
      <c r="C36" s="12"/>
      <c r="D36" s="8"/>
      <c r="E36" s="3"/>
      <c r="F36" s="7">
        <f t="shared" si="8"/>
        <v>0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0</v>
      </c>
      <c r="M36" s="3"/>
      <c r="N36" s="7">
        <f t="shared" si="11"/>
        <v>0</v>
      </c>
      <c r="O36" s="12"/>
      <c r="P36" s="8"/>
      <c r="Q36" s="3"/>
      <c r="R36" s="7">
        <f t="shared" si="12"/>
        <v>0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0</v>
      </c>
      <c r="Y36" s="3"/>
      <c r="Z36" s="7">
        <f t="shared" si="15"/>
        <v>0</v>
      </c>
    </row>
    <row r="37" spans="1:26" s="70" customFormat="1" ht="15" hidden="1" customHeight="1" outlineLevel="2" x14ac:dyDescent="0.3">
      <c r="A37" s="26"/>
      <c r="B37" s="12" t="str">
        <f>CONCATENATE("          ","6114"," - ","STATE UNEMPLOYMENT INSURANCE")</f>
        <v xml:space="preserve">          6114 - STATE UNEMPLOYMENT INSURANCE</v>
      </c>
      <c r="C37" s="12"/>
      <c r="D37" s="8">
        <v>13.35</v>
      </c>
      <c r="E37" s="3"/>
      <c r="F37" s="7">
        <f t="shared" si="8"/>
        <v>3.0487484602107498E-4</v>
      </c>
      <c r="G37" s="3"/>
      <c r="H37" s="8">
        <v>18.290579999999999</v>
      </c>
      <c r="I37" s="3"/>
      <c r="J37" s="7">
        <f t="shared" si="9"/>
        <v>2.8343426517076799E-4</v>
      </c>
      <c r="K37" s="3"/>
      <c r="L37" s="8">
        <f t="shared" si="10"/>
        <v>-4.9405799999999989</v>
      </c>
      <c r="M37" s="3"/>
      <c r="N37" s="7">
        <f t="shared" si="11"/>
        <v>-0.27011609254599905</v>
      </c>
      <c r="O37" s="12"/>
      <c r="P37" s="8">
        <v>69.95</v>
      </c>
      <c r="Q37" s="3"/>
      <c r="R37" s="7">
        <f t="shared" si="12"/>
        <v>4.8669591155952533E-4</v>
      </c>
      <c r="S37" s="3"/>
      <c r="T37" s="8">
        <v>152.264805</v>
      </c>
      <c r="U37" s="3"/>
      <c r="V37" s="7">
        <f t="shared" si="13"/>
        <v>3.9306822846079379E-4</v>
      </c>
      <c r="W37" s="3"/>
      <c r="X37" s="8">
        <f t="shared" si="14"/>
        <v>-82.314804999999993</v>
      </c>
      <c r="Y37" s="3"/>
      <c r="Z37" s="7">
        <f t="shared" si="15"/>
        <v>-0.54060296468379543</v>
      </c>
    </row>
    <row r="38" spans="1:26" s="70" customFormat="1" ht="15" hidden="1" customHeight="1" outlineLevel="2" x14ac:dyDescent="0.3">
      <c r="A38" s="26"/>
      <c r="B38" s="12" t="str">
        <f>CONCATENATE("          ","6115"," - ","P.E.R.S.")</f>
        <v xml:space="preserve">          6115 - P.E.R.S.</v>
      </c>
      <c r="C38" s="12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2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70" customFormat="1" ht="15" hidden="1" customHeight="1" outlineLevel="2" x14ac:dyDescent="0.3">
      <c r="A39" s="26"/>
      <c r="B39" s="12" t="str">
        <f>CONCATENATE("          ","6116"," - ","EDUCATIONAL BENEFITS")</f>
        <v xml:space="preserve">          6116 - EDUCATIONAL BENEFITS</v>
      </c>
      <c r="C39" s="12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2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70" customFormat="1" ht="15" hidden="1" customHeight="1" outlineLevel="2" x14ac:dyDescent="0.3">
      <c r="A40" s="26"/>
      <c r="B40" s="12" t="str">
        <f>CONCATENATE("          ","6118"," - ","VACATION")</f>
        <v xml:space="preserve">          6118 - VACATION</v>
      </c>
      <c r="C40" s="12"/>
      <c r="D40" s="8"/>
      <c r="E40" s="3"/>
      <c r="F40" s="7">
        <f t="shared" si="8"/>
        <v>0</v>
      </c>
      <c r="G40" s="3"/>
      <c r="H40" s="8">
        <v>0</v>
      </c>
      <c r="I40" s="3"/>
      <c r="J40" s="7">
        <f t="shared" si="9"/>
        <v>0</v>
      </c>
      <c r="K40" s="3"/>
      <c r="L40" s="8">
        <f t="shared" si="10"/>
        <v>0</v>
      </c>
      <c r="M40" s="3"/>
      <c r="N40" s="7">
        <f t="shared" si="11"/>
        <v>0</v>
      </c>
      <c r="O40" s="12"/>
      <c r="P40" s="8"/>
      <c r="Q40" s="3"/>
      <c r="R40" s="7">
        <f t="shared" si="12"/>
        <v>0</v>
      </c>
      <c r="S40" s="3"/>
      <c r="T40" s="8">
        <v>0</v>
      </c>
      <c r="U40" s="3"/>
      <c r="V40" s="7">
        <f t="shared" si="13"/>
        <v>0</v>
      </c>
      <c r="W40" s="3"/>
      <c r="X40" s="8">
        <f t="shared" si="14"/>
        <v>0</v>
      </c>
      <c r="Y40" s="3"/>
      <c r="Z40" s="7">
        <f t="shared" si="15"/>
        <v>0</v>
      </c>
    </row>
    <row r="41" spans="1:26" s="70" customFormat="1" ht="15" hidden="1" customHeight="1" outlineLevel="2" x14ac:dyDescent="0.3">
      <c r="A41" s="26"/>
      <c r="B41" s="12" t="str">
        <f>CONCATENATE("          ","6119"," - ","SICK LEAVE")</f>
        <v xml:space="preserve">          6119 - SICK LEAVE</v>
      </c>
      <c r="C41" s="12"/>
      <c r="D41" s="8"/>
      <c r="E41" s="3"/>
      <c r="F41" s="7">
        <f t="shared" si="8"/>
        <v>0</v>
      </c>
      <c r="G41" s="3"/>
      <c r="H41" s="8">
        <v>302.38200000000001</v>
      </c>
      <c r="I41" s="3"/>
      <c r="J41" s="7">
        <f t="shared" si="9"/>
        <v>4.6857683009979547E-3</v>
      </c>
      <c r="K41" s="3"/>
      <c r="L41" s="8">
        <f t="shared" si="10"/>
        <v>-302.38200000000001</v>
      </c>
      <c r="M41" s="3"/>
      <c r="N41" s="7">
        <f t="shared" si="11"/>
        <v>-1</v>
      </c>
      <c r="O41" s="12"/>
      <c r="P41" s="8"/>
      <c r="Q41" s="3"/>
      <c r="R41" s="7">
        <f t="shared" si="12"/>
        <v>0</v>
      </c>
      <c r="S41" s="3"/>
      <c r="T41" s="8">
        <v>2517.2595000000001</v>
      </c>
      <c r="U41" s="3"/>
      <c r="V41" s="7">
        <f t="shared" si="13"/>
        <v>6.4982497579864473E-3</v>
      </c>
      <c r="W41" s="3"/>
      <c r="X41" s="8">
        <f t="shared" si="14"/>
        <v>-2517.2595000000001</v>
      </c>
      <c r="Y41" s="3"/>
      <c r="Z41" s="7">
        <f t="shared" si="15"/>
        <v>-1</v>
      </c>
    </row>
    <row r="42" spans="1:26" s="69" customFormat="1" ht="15" customHeight="1" outlineLevel="1" collapsed="1" x14ac:dyDescent="0.3">
      <c r="A42" s="25"/>
      <c r="B42" s="14" t="str">
        <f>CONCATENATE("     ","*Payroll                                          ")</f>
        <v xml:space="preserve">     *Payroll                                          </v>
      </c>
      <c r="C42" s="14"/>
      <c r="D42" s="2">
        <f>SUM(OSRRefD22_1x_0)</f>
        <v>5987.2400000000007</v>
      </c>
      <c r="E42" s="2"/>
      <c r="F42" s="6">
        <f t="shared" si="8"/>
        <v>0.13673100172967947</v>
      </c>
      <c r="G42" s="2"/>
      <c r="H42" s="2">
        <f>SUM(OSRRefH22_1x_0)</f>
        <v>8607.08</v>
      </c>
      <c r="I42" s="2"/>
      <c r="J42" s="6">
        <f t="shared" si="9"/>
        <v>0.13337692927539824</v>
      </c>
      <c r="K42" s="2"/>
      <c r="L42" s="2">
        <f t="shared" si="10"/>
        <v>-2619.8399999999992</v>
      </c>
      <c r="M42" s="2"/>
      <c r="N42" s="6">
        <f t="shared" si="11"/>
        <v>-0.30438197390985089</v>
      </c>
      <c r="O42" s="14"/>
      <c r="P42" s="2">
        <f>SUM(OSRRefP22_1x_0)</f>
        <v>26792.620000000003</v>
      </c>
      <c r="Q42" s="2"/>
      <c r="R42" s="6">
        <f t="shared" si="12"/>
        <v>0.18641684937766934</v>
      </c>
      <c r="S42" s="2"/>
      <c r="T42" s="2">
        <f>SUM(OSRRefT22_1x_0)</f>
        <v>71651.929999999993</v>
      </c>
      <c r="U42" s="2"/>
      <c r="V42" s="6">
        <f t="shared" si="13"/>
        <v>0.18496787350758306</v>
      </c>
      <c r="W42" s="2"/>
      <c r="X42" s="2">
        <f t="shared" si="14"/>
        <v>-44859.30999999999</v>
      </c>
      <c r="Y42" s="2"/>
      <c r="Z42" s="6">
        <f t="shared" si="15"/>
        <v>-0.62607259846315366</v>
      </c>
    </row>
    <row r="43" spans="1:26" s="70" customFormat="1" ht="15" hidden="1" customHeight="1" outlineLevel="2" x14ac:dyDescent="0.3">
      <c r="A43" s="26"/>
      <c r="B43" s="12" t="str">
        <f>CONCATENATE("          ","6001"," - ","ADMINISTRATIVE SALARIES")</f>
        <v xml:space="preserve">          6001 - ADMINISTRATIVE SALARIES</v>
      </c>
      <c r="C43" s="12"/>
      <c r="D43" s="8"/>
      <c r="E43" s="3"/>
      <c r="F43" s="7">
        <f t="shared" si="8"/>
        <v>0</v>
      </c>
      <c r="G43" s="3"/>
      <c r="H43" s="8">
        <v>0</v>
      </c>
      <c r="I43" s="3"/>
      <c r="J43" s="7">
        <f t="shared" si="9"/>
        <v>0</v>
      </c>
      <c r="K43" s="3"/>
      <c r="L43" s="8">
        <f t="shared" si="10"/>
        <v>0</v>
      </c>
      <c r="M43" s="3"/>
      <c r="N43" s="7">
        <f t="shared" si="11"/>
        <v>0</v>
      </c>
      <c r="O43" s="12"/>
      <c r="P43" s="8"/>
      <c r="Q43" s="3"/>
      <c r="R43" s="7">
        <f t="shared" si="12"/>
        <v>0</v>
      </c>
      <c r="S43" s="3"/>
      <c r="T43" s="8">
        <v>0</v>
      </c>
      <c r="U43" s="3"/>
      <c r="V43" s="7">
        <f t="shared" si="13"/>
        <v>0</v>
      </c>
      <c r="W43" s="3"/>
      <c r="X43" s="8">
        <f t="shared" si="14"/>
        <v>0</v>
      </c>
      <c r="Y43" s="3"/>
      <c r="Z43" s="7">
        <f t="shared" si="15"/>
        <v>0</v>
      </c>
    </row>
    <row r="44" spans="1:26" s="70" customFormat="1" ht="15" hidden="1" customHeight="1" outlineLevel="2" x14ac:dyDescent="0.3">
      <c r="A44" s="26"/>
      <c r="B44" s="12" t="str">
        <f>CONCATENATE("          ","6002"," - ","STAFF SALARIES")</f>
        <v xml:space="preserve">          6002 - STAFF SALARIES</v>
      </c>
      <c r="C44" s="12"/>
      <c r="D44" s="8"/>
      <c r="E44" s="3"/>
      <c r="F44" s="7">
        <f t="shared" si="8"/>
        <v>0</v>
      </c>
      <c r="G44" s="3"/>
      <c r="H44" s="8">
        <v>0</v>
      </c>
      <c r="I44" s="3"/>
      <c r="J44" s="7">
        <f t="shared" si="9"/>
        <v>0</v>
      </c>
      <c r="K44" s="3"/>
      <c r="L44" s="8">
        <f t="shared" si="10"/>
        <v>0</v>
      </c>
      <c r="M44" s="3"/>
      <c r="N44" s="7">
        <f t="shared" si="11"/>
        <v>0</v>
      </c>
      <c r="O44" s="12"/>
      <c r="P44" s="8"/>
      <c r="Q44" s="3"/>
      <c r="R44" s="7">
        <f t="shared" si="12"/>
        <v>0</v>
      </c>
      <c r="S44" s="3"/>
      <c r="T44" s="8">
        <v>0</v>
      </c>
      <c r="U44" s="3"/>
      <c r="V44" s="7">
        <f t="shared" si="13"/>
        <v>0</v>
      </c>
      <c r="W44" s="3"/>
      <c r="X44" s="8">
        <f t="shared" si="14"/>
        <v>0</v>
      </c>
      <c r="Y44" s="3"/>
      <c r="Z44" s="7">
        <f t="shared" si="15"/>
        <v>0</v>
      </c>
    </row>
    <row r="45" spans="1:26" s="70" customFormat="1" ht="15" hidden="1" customHeight="1" outlineLevel="2" x14ac:dyDescent="0.3">
      <c r="A45" s="26"/>
      <c r="B45" s="12" t="str">
        <f>CONCATENATE("          ","6003"," - ","STAFF HOURLY-9 MONTH")</f>
        <v xml:space="preserve">          6003 - STAFF HOURLY-9 MONTH</v>
      </c>
      <c r="C45" s="12"/>
      <c r="D45" s="8"/>
      <c r="E45" s="3"/>
      <c r="F45" s="7">
        <f t="shared" si="8"/>
        <v>0</v>
      </c>
      <c r="G45" s="3"/>
      <c r="H45" s="8">
        <v>0</v>
      </c>
      <c r="I45" s="3"/>
      <c r="J45" s="7">
        <f t="shared" si="9"/>
        <v>0</v>
      </c>
      <c r="K45" s="3"/>
      <c r="L45" s="8">
        <f t="shared" si="10"/>
        <v>0</v>
      </c>
      <c r="M45" s="3"/>
      <c r="N45" s="7">
        <f t="shared" si="11"/>
        <v>0</v>
      </c>
      <c r="O45" s="12"/>
      <c r="P45" s="8"/>
      <c r="Q45" s="3"/>
      <c r="R45" s="7">
        <f t="shared" si="12"/>
        <v>0</v>
      </c>
      <c r="S45" s="3"/>
      <c r="T45" s="8">
        <v>0</v>
      </c>
      <c r="U45" s="3"/>
      <c r="V45" s="7">
        <f t="shared" si="13"/>
        <v>0</v>
      </c>
      <c r="W45" s="3"/>
      <c r="X45" s="8">
        <f t="shared" si="14"/>
        <v>0</v>
      </c>
      <c r="Y45" s="3"/>
      <c r="Z45" s="7">
        <f t="shared" si="15"/>
        <v>0</v>
      </c>
    </row>
    <row r="46" spans="1:26" s="70" customFormat="1" ht="15" hidden="1" customHeight="1" outlineLevel="2" x14ac:dyDescent="0.3">
      <c r="A46" s="26"/>
      <c r="B46" s="12" t="str">
        <f>CONCATENATE("          ","6004"," - ","STAFF HOURLY")</f>
        <v xml:space="preserve">          6004 - STAFF HOURLY</v>
      </c>
      <c r="C46" s="12"/>
      <c r="D46" s="8"/>
      <c r="E46" s="3"/>
      <c r="F46" s="7">
        <f t="shared" si="8"/>
        <v>0</v>
      </c>
      <c r="G46" s="3"/>
      <c r="H46" s="8">
        <v>1951.68</v>
      </c>
      <c r="I46" s="3"/>
      <c r="J46" s="7">
        <f t="shared" si="9"/>
        <v>3.0243600074381705E-2</v>
      </c>
      <c r="K46" s="3"/>
      <c r="L46" s="8">
        <f t="shared" si="10"/>
        <v>-1951.68</v>
      </c>
      <c r="M46" s="3"/>
      <c r="N46" s="7">
        <f t="shared" si="11"/>
        <v>-1</v>
      </c>
      <c r="O46" s="12"/>
      <c r="P46" s="8">
        <v>783.61</v>
      </c>
      <c r="Q46" s="3"/>
      <c r="R46" s="7">
        <f t="shared" si="12"/>
        <v>5.4521770301237974E-3</v>
      </c>
      <c r="S46" s="3"/>
      <c r="T46" s="8">
        <v>16247.28</v>
      </c>
      <c r="U46" s="3"/>
      <c r="V46" s="7">
        <f t="shared" si="13"/>
        <v>4.1941994191674735E-2</v>
      </c>
      <c r="W46" s="3"/>
      <c r="X46" s="8">
        <f t="shared" si="14"/>
        <v>-15463.67</v>
      </c>
      <c r="Y46" s="3"/>
      <c r="Z46" s="7">
        <f t="shared" si="15"/>
        <v>-0.95176977315587585</v>
      </c>
    </row>
    <row r="47" spans="1:26" s="70" customFormat="1" ht="15" hidden="1" customHeight="1" outlineLevel="2" x14ac:dyDescent="0.3">
      <c r="A47" s="26"/>
      <c r="B47" s="12" t="str">
        <f>CONCATENATE("          ","6005"," - ","TEMPORARY WAGES-HOURLY")</f>
        <v xml:space="preserve">          6005 - TEMPORARY WAGES-HOURLY</v>
      </c>
      <c r="C47" s="12"/>
      <c r="D47" s="8">
        <v>1465</v>
      </c>
      <c r="E47" s="3"/>
      <c r="F47" s="7">
        <f t="shared" si="8"/>
        <v>3.3456303327406352E-2</v>
      </c>
      <c r="G47" s="3"/>
      <c r="H47" s="8">
        <v>0</v>
      </c>
      <c r="I47" s="3"/>
      <c r="J47" s="7">
        <f t="shared" si="9"/>
        <v>0</v>
      </c>
      <c r="K47" s="3"/>
      <c r="L47" s="8">
        <f t="shared" si="10"/>
        <v>1465</v>
      </c>
      <c r="M47" s="3"/>
      <c r="N47" s="7">
        <f t="shared" si="11"/>
        <v>0</v>
      </c>
      <c r="O47" s="12"/>
      <c r="P47" s="8">
        <v>2170.34</v>
      </c>
      <c r="Q47" s="3"/>
      <c r="R47" s="7">
        <f t="shared" si="12"/>
        <v>1.5100723440944964E-2</v>
      </c>
      <c r="S47" s="3"/>
      <c r="T47" s="8">
        <v>0</v>
      </c>
      <c r="U47" s="3"/>
      <c r="V47" s="7">
        <f t="shared" si="13"/>
        <v>0</v>
      </c>
      <c r="W47" s="3"/>
      <c r="X47" s="8">
        <f t="shared" si="14"/>
        <v>2170.34</v>
      </c>
      <c r="Y47" s="3"/>
      <c r="Z47" s="7">
        <f t="shared" si="15"/>
        <v>0</v>
      </c>
    </row>
    <row r="48" spans="1:26" s="70" customFormat="1" ht="15" hidden="1" customHeight="1" outlineLevel="2" x14ac:dyDescent="0.3">
      <c r="A48" s="26"/>
      <c r="B48" s="12" t="str">
        <f>CONCATENATE("          ","6006"," - ","TEMPORARY PART TIME")</f>
        <v xml:space="preserve">          6006 - TEMPORARY PART TIME</v>
      </c>
      <c r="C48" s="12"/>
      <c r="D48" s="8"/>
      <c r="E48" s="3"/>
      <c r="F48" s="7">
        <f t="shared" si="8"/>
        <v>0</v>
      </c>
      <c r="G48" s="3"/>
      <c r="H48" s="8">
        <v>0</v>
      </c>
      <c r="I48" s="3"/>
      <c r="J48" s="7">
        <f t="shared" si="9"/>
        <v>0</v>
      </c>
      <c r="K48" s="3"/>
      <c r="L48" s="8">
        <f t="shared" si="10"/>
        <v>0</v>
      </c>
      <c r="M48" s="3"/>
      <c r="N48" s="7">
        <f t="shared" si="11"/>
        <v>0</v>
      </c>
      <c r="O48" s="12"/>
      <c r="P48" s="8"/>
      <c r="Q48" s="3"/>
      <c r="R48" s="7">
        <f t="shared" si="12"/>
        <v>0</v>
      </c>
      <c r="S48" s="3"/>
      <c r="T48" s="8">
        <v>0</v>
      </c>
      <c r="U48" s="3"/>
      <c r="V48" s="7">
        <f t="shared" si="13"/>
        <v>0</v>
      </c>
      <c r="W48" s="3"/>
      <c r="X48" s="8">
        <f t="shared" si="14"/>
        <v>0</v>
      </c>
      <c r="Y48" s="3"/>
      <c r="Z48" s="7">
        <f t="shared" si="15"/>
        <v>0</v>
      </c>
    </row>
    <row r="49" spans="1:26" s="70" customFormat="1" ht="15" hidden="1" customHeight="1" outlineLevel="2" x14ac:dyDescent="0.3">
      <c r="A49" s="26"/>
      <c r="B49" s="12" t="str">
        <f>CONCATENATE("          ","6007"," - ","STUDENT HOURLY")</f>
        <v xml:space="preserve">          6007 - STUDENT HOURLY</v>
      </c>
      <c r="C49" s="12"/>
      <c r="D49" s="8">
        <v>3098.52</v>
      </c>
      <c r="E49" s="3"/>
      <c r="F49" s="7">
        <f t="shared" si="8"/>
        <v>7.0761109205484729E-2</v>
      </c>
      <c r="G49" s="3"/>
      <c r="H49" s="8">
        <v>0</v>
      </c>
      <c r="I49" s="3"/>
      <c r="J49" s="7">
        <f t="shared" si="9"/>
        <v>0</v>
      </c>
      <c r="K49" s="3"/>
      <c r="L49" s="8">
        <f t="shared" si="10"/>
        <v>3098.52</v>
      </c>
      <c r="M49" s="3"/>
      <c r="N49" s="7">
        <f t="shared" si="11"/>
        <v>0</v>
      </c>
      <c r="O49" s="12"/>
      <c r="P49" s="8">
        <v>18951.57</v>
      </c>
      <c r="Q49" s="3"/>
      <c r="R49" s="7">
        <f t="shared" si="12"/>
        <v>0.1318606381220036</v>
      </c>
      <c r="S49" s="3"/>
      <c r="T49" s="8">
        <v>13995</v>
      </c>
      <c r="U49" s="3"/>
      <c r="V49" s="7">
        <f t="shared" si="13"/>
        <v>3.6127783155856727E-2</v>
      </c>
      <c r="W49" s="3"/>
      <c r="X49" s="8">
        <f t="shared" si="14"/>
        <v>4956.57</v>
      </c>
      <c r="Y49" s="3"/>
      <c r="Z49" s="7">
        <f t="shared" si="15"/>
        <v>0.35416720257234724</v>
      </c>
    </row>
    <row r="50" spans="1:26" s="70" customFormat="1" ht="15" hidden="1" customHeight="1" outlineLevel="2" x14ac:dyDescent="0.3">
      <c r="A50" s="26"/>
      <c r="B50" s="12" t="str">
        <f>CONCATENATE("          ","6008"," - ","STUDENT HOURLY-FICA EXEMPT")</f>
        <v xml:space="preserve">          6008 - STUDENT HOURLY-FICA EXEMPT</v>
      </c>
      <c r="C50" s="12"/>
      <c r="D50" s="8">
        <v>1423.72</v>
      </c>
      <c r="E50" s="3"/>
      <c r="F50" s="7">
        <f t="shared" si="8"/>
        <v>3.251358919678838E-2</v>
      </c>
      <c r="G50" s="3"/>
      <c r="H50" s="8">
        <v>6655.4</v>
      </c>
      <c r="I50" s="3"/>
      <c r="J50" s="7">
        <f t="shared" si="9"/>
        <v>0.10313332920101655</v>
      </c>
      <c r="K50" s="3"/>
      <c r="L50" s="8">
        <f t="shared" si="10"/>
        <v>-5231.6799999999994</v>
      </c>
      <c r="M50" s="3"/>
      <c r="N50" s="7">
        <f t="shared" si="11"/>
        <v>-0.78608047600444741</v>
      </c>
      <c r="O50" s="12"/>
      <c r="P50" s="8">
        <v>4887.1000000000004</v>
      </c>
      <c r="Q50" s="3"/>
      <c r="R50" s="7">
        <f t="shared" si="12"/>
        <v>3.4003310784596945E-2</v>
      </c>
      <c r="S50" s="3"/>
      <c r="T50" s="8">
        <v>41409.65</v>
      </c>
      <c r="U50" s="3"/>
      <c r="V50" s="7">
        <f t="shared" si="13"/>
        <v>0.10689809616005164</v>
      </c>
      <c r="W50" s="3"/>
      <c r="X50" s="8">
        <f t="shared" si="14"/>
        <v>-36522.550000000003</v>
      </c>
      <c r="Y50" s="3"/>
      <c r="Z50" s="7">
        <f t="shared" si="15"/>
        <v>-0.88198161539641129</v>
      </c>
    </row>
    <row r="51" spans="1:26" s="70" customFormat="1" ht="15" hidden="1" customHeight="1" outlineLevel="2" x14ac:dyDescent="0.3">
      <c r="A51" s="26"/>
      <c r="B51" s="12" t="str">
        <f>CONCATENATE("          ","6009"," - ","TEMPORARY-SEASONAL")</f>
        <v xml:space="preserve">          6009 - TEMPORARY-SEASONAL</v>
      </c>
      <c r="C51" s="12"/>
      <c r="D51" s="8"/>
      <c r="E51" s="3"/>
      <c r="F51" s="7">
        <f t="shared" si="8"/>
        <v>0</v>
      </c>
      <c r="G51" s="3"/>
      <c r="H51" s="8">
        <v>0</v>
      </c>
      <c r="I51" s="3"/>
      <c r="J51" s="7">
        <f t="shared" si="9"/>
        <v>0</v>
      </c>
      <c r="K51" s="3"/>
      <c r="L51" s="8">
        <f t="shared" si="10"/>
        <v>0</v>
      </c>
      <c r="M51" s="3"/>
      <c r="N51" s="7">
        <f t="shared" si="11"/>
        <v>0</v>
      </c>
      <c r="O51" s="12"/>
      <c r="P51" s="8"/>
      <c r="Q51" s="3"/>
      <c r="R51" s="7">
        <f t="shared" si="12"/>
        <v>0</v>
      </c>
      <c r="S51" s="3"/>
      <c r="T51" s="8">
        <v>0</v>
      </c>
      <c r="U51" s="3"/>
      <c r="V51" s="7">
        <f t="shared" si="13"/>
        <v>0</v>
      </c>
      <c r="W51" s="3"/>
      <c r="X51" s="8">
        <f t="shared" si="14"/>
        <v>0</v>
      </c>
      <c r="Y51" s="3"/>
      <c r="Z51" s="7">
        <f t="shared" si="15"/>
        <v>0</v>
      </c>
    </row>
    <row r="52" spans="1:26" s="70" customFormat="1" ht="15" hidden="1" customHeight="1" outlineLevel="2" x14ac:dyDescent="0.3">
      <c r="A52" s="26"/>
      <c r="B52" s="12" t="str">
        <f>CONCATENATE("          ","6010"," - ","GRATUITY")</f>
        <v xml:space="preserve">          6010 - GRATUITY</v>
      </c>
      <c r="C52" s="12"/>
      <c r="D52" s="8"/>
      <c r="E52" s="3"/>
      <c r="F52" s="7">
        <f t="shared" si="8"/>
        <v>0</v>
      </c>
      <c r="G52" s="3"/>
      <c r="H52" s="8">
        <v>0</v>
      </c>
      <c r="I52" s="3"/>
      <c r="J52" s="7">
        <f t="shared" si="9"/>
        <v>0</v>
      </c>
      <c r="K52" s="3"/>
      <c r="L52" s="8">
        <f t="shared" si="10"/>
        <v>0</v>
      </c>
      <c r="M52" s="3"/>
      <c r="N52" s="7">
        <f t="shared" si="11"/>
        <v>0</v>
      </c>
      <c r="O52" s="12"/>
      <c r="P52" s="8"/>
      <c r="Q52" s="3"/>
      <c r="R52" s="7">
        <f t="shared" si="12"/>
        <v>0</v>
      </c>
      <c r="S52" s="3"/>
      <c r="T52" s="8">
        <v>0</v>
      </c>
      <c r="U52" s="3"/>
      <c r="V52" s="7">
        <f t="shared" si="13"/>
        <v>0</v>
      </c>
      <c r="W52" s="3"/>
      <c r="X52" s="8">
        <f t="shared" si="14"/>
        <v>0</v>
      </c>
      <c r="Y52" s="3"/>
      <c r="Z52" s="7">
        <f t="shared" si="15"/>
        <v>0</v>
      </c>
    </row>
    <row r="53" spans="1:26" s="69" customFormat="1" ht="15" customHeight="1" outlineLevel="1" collapsed="1" x14ac:dyDescent="0.3">
      <c r="A53" s="25"/>
      <c r="B53" s="14" t="str">
        <f>CONCATENATE("     ","Advertising/Promo                                 ")</f>
        <v xml:space="preserve">     Advertising/Promo                                 </v>
      </c>
      <c r="C53" s="14"/>
      <c r="D53" s="2">
        <f>SUM(OSRRefD22_2x_0)</f>
        <v>0</v>
      </c>
      <c r="E53" s="2"/>
      <c r="F53" s="6">
        <f t="shared" si="8"/>
        <v>0</v>
      </c>
      <c r="G53" s="2"/>
      <c r="H53" s="2">
        <f>SUM(OSRRefH22_2x_0)</f>
        <v>50</v>
      </c>
      <c r="I53" s="2"/>
      <c r="J53" s="6">
        <f t="shared" si="9"/>
        <v>7.7480939688836549E-4</v>
      </c>
      <c r="K53" s="2"/>
      <c r="L53" s="2">
        <f t="shared" si="10"/>
        <v>-50</v>
      </c>
      <c r="M53" s="2"/>
      <c r="N53" s="6">
        <f t="shared" si="11"/>
        <v>-1</v>
      </c>
      <c r="O53" s="14"/>
      <c r="P53" s="2">
        <f>SUM(OSRRefP22_2x_0)</f>
        <v>1669.12</v>
      </c>
      <c r="Q53" s="2"/>
      <c r="R53" s="6">
        <f t="shared" si="12"/>
        <v>1.1613350677658825E-2</v>
      </c>
      <c r="S53" s="2"/>
      <c r="T53" s="2">
        <f>SUM(OSRRefT22_2x_0)</f>
        <v>400</v>
      </c>
      <c r="U53" s="2"/>
      <c r="V53" s="6">
        <f t="shared" si="13"/>
        <v>1.0325911584382059E-3</v>
      </c>
      <c r="W53" s="2"/>
      <c r="X53" s="2">
        <f t="shared" si="14"/>
        <v>1269.1199999999999</v>
      </c>
      <c r="Y53" s="2"/>
      <c r="Z53" s="6">
        <f t="shared" si="15"/>
        <v>3.1727999999999996</v>
      </c>
    </row>
    <row r="54" spans="1:26" s="70" customFormat="1" ht="15" hidden="1" customHeight="1" outlineLevel="2" x14ac:dyDescent="0.3">
      <c r="A54" s="26"/>
      <c r="B54" s="12" t="str">
        <f>CONCATENATE("          ","6362"," - ","ADVERTISING EXPENSE")</f>
        <v xml:space="preserve">          6362 - ADVERTISING EXPENSE</v>
      </c>
      <c r="C54" s="12"/>
      <c r="D54" s="8"/>
      <c r="E54" s="3"/>
      <c r="F54" s="7">
        <f t="shared" si="8"/>
        <v>0</v>
      </c>
      <c r="G54" s="3"/>
      <c r="H54" s="8">
        <v>50</v>
      </c>
      <c r="I54" s="3"/>
      <c r="J54" s="7">
        <f t="shared" si="9"/>
        <v>7.7480939688836549E-4</v>
      </c>
      <c r="K54" s="3"/>
      <c r="L54" s="8">
        <f t="shared" si="10"/>
        <v>-50</v>
      </c>
      <c r="M54" s="3"/>
      <c r="N54" s="7">
        <f t="shared" si="11"/>
        <v>-1</v>
      </c>
      <c r="O54" s="12"/>
      <c r="P54" s="8">
        <v>1669.12</v>
      </c>
      <c r="Q54" s="3"/>
      <c r="R54" s="7">
        <f t="shared" si="12"/>
        <v>1.1613350677658825E-2</v>
      </c>
      <c r="S54" s="3"/>
      <c r="T54" s="8">
        <v>400</v>
      </c>
      <c r="U54" s="3"/>
      <c r="V54" s="7">
        <f t="shared" si="13"/>
        <v>1.0325911584382059E-3</v>
      </c>
      <c r="W54" s="3"/>
      <c r="X54" s="8">
        <f t="shared" si="14"/>
        <v>1269.1199999999999</v>
      </c>
      <c r="Y54" s="3"/>
      <c r="Z54" s="7">
        <f t="shared" si="15"/>
        <v>3.1727999999999996</v>
      </c>
    </row>
    <row r="55" spans="1:26" s="69" customFormat="1" ht="15" customHeight="1" outlineLevel="1" collapsed="1" x14ac:dyDescent="0.3">
      <c r="A55" s="25"/>
      <c r="B55" s="14" t="str">
        <f>CONCATENATE("     ","Bad Debts/Over/Short                              ")</f>
        <v xml:space="preserve">     Bad Debts/Over/Short                              </v>
      </c>
      <c r="C55" s="14"/>
      <c r="D55" s="2">
        <f>SUM(OSRRefD22_3x_0)</f>
        <v>-0.37</v>
      </c>
      <c r="E55" s="2"/>
      <c r="F55" s="6">
        <f t="shared" si="8"/>
        <v>-8.449714833542902E-6</v>
      </c>
      <c r="G55" s="2"/>
      <c r="H55" s="2">
        <f>SUM(OSRRefH22_3x_0)</f>
        <v>25</v>
      </c>
      <c r="I55" s="2"/>
      <c r="J55" s="6">
        <f t="shared" si="9"/>
        <v>3.8740469844418274E-4</v>
      </c>
      <c r="K55" s="2"/>
      <c r="L55" s="2">
        <f t="shared" si="10"/>
        <v>-25.37</v>
      </c>
      <c r="M55" s="2"/>
      <c r="N55" s="6">
        <f t="shared" si="11"/>
        <v>-1.0148000000000001</v>
      </c>
      <c r="O55" s="14"/>
      <c r="P55" s="2">
        <f>SUM(OSRRefP22_3x_0)</f>
        <v>-8.67</v>
      </c>
      <c r="Q55" s="2"/>
      <c r="R55" s="6">
        <f t="shared" si="12"/>
        <v>-6.0323853512810353E-5</v>
      </c>
      <c r="S55" s="2"/>
      <c r="T55" s="2">
        <f>SUM(OSRRefT22_3x_0)</f>
        <v>200</v>
      </c>
      <c r="U55" s="2"/>
      <c r="V55" s="6">
        <f t="shared" si="13"/>
        <v>5.1629557921910297E-4</v>
      </c>
      <c r="W55" s="2"/>
      <c r="X55" s="2">
        <f t="shared" si="14"/>
        <v>-208.67</v>
      </c>
      <c r="Y55" s="2"/>
      <c r="Z55" s="6">
        <f t="shared" si="15"/>
        <v>-1.04335</v>
      </c>
    </row>
    <row r="56" spans="1:26" s="70" customFormat="1" ht="15" hidden="1" customHeight="1" outlineLevel="2" x14ac:dyDescent="0.3">
      <c r="A56" s="26"/>
      <c r="B56" s="12" t="str">
        <f>CONCATENATE("          ","6272"," - ","CASH (OVER/SHORT)")</f>
        <v xml:space="preserve">          6272 - CASH (OVER/SHORT)</v>
      </c>
      <c r="C56" s="12"/>
      <c r="D56" s="8">
        <v>-0.37</v>
      </c>
      <c r="E56" s="3"/>
      <c r="F56" s="7">
        <f t="shared" si="8"/>
        <v>-8.449714833542902E-6</v>
      </c>
      <c r="G56" s="3"/>
      <c r="H56" s="8">
        <v>25</v>
      </c>
      <c r="I56" s="3"/>
      <c r="J56" s="7">
        <f t="shared" si="9"/>
        <v>3.8740469844418274E-4</v>
      </c>
      <c r="K56" s="3"/>
      <c r="L56" s="8">
        <f t="shared" si="10"/>
        <v>-25.37</v>
      </c>
      <c r="M56" s="3"/>
      <c r="N56" s="7">
        <f t="shared" si="11"/>
        <v>-1.0148000000000001</v>
      </c>
      <c r="O56" s="12"/>
      <c r="P56" s="8">
        <v>-8.67</v>
      </c>
      <c r="Q56" s="3"/>
      <c r="R56" s="7">
        <f t="shared" si="12"/>
        <v>-6.0323853512810353E-5</v>
      </c>
      <c r="S56" s="3"/>
      <c r="T56" s="8">
        <v>200</v>
      </c>
      <c r="U56" s="3"/>
      <c r="V56" s="7">
        <f t="shared" si="13"/>
        <v>5.1629557921910297E-4</v>
      </c>
      <c r="W56" s="3"/>
      <c r="X56" s="8">
        <f t="shared" si="14"/>
        <v>-208.67</v>
      </c>
      <c r="Y56" s="3"/>
      <c r="Z56" s="7">
        <f t="shared" si="15"/>
        <v>-1.04335</v>
      </c>
    </row>
    <row r="57" spans="1:26" s="69" customFormat="1" ht="15" customHeight="1" outlineLevel="1" collapsed="1" x14ac:dyDescent="0.3">
      <c r="A57" s="25"/>
      <c r="B57" s="14" t="str">
        <f>CONCATENATE("     ","Bank/card Fees                                    ")</f>
        <v xml:space="preserve">     Bank/card Fees                                    </v>
      </c>
      <c r="C57" s="14"/>
      <c r="D57" s="2">
        <f>SUM(OSRRefD22_4x_0)</f>
        <v>0</v>
      </c>
      <c r="E57" s="2"/>
      <c r="F57" s="6">
        <f t="shared" si="8"/>
        <v>0</v>
      </c>
      <c r="G57" s="2"/>
      <c r="H57" s="2">
        <f>SUM(OSRRefH22_4x_0)</f>
        <v>1199</v>
      </c>
      <c r="I57" s="2"/>
      <c r="J57" s="6">
        <f t="shared" si="9"/>
        <v>1.8579929337383005E-2</v>
      </c>
      <c r="K57" s="2"/>
      <c r="L57" s="2">
        <f t="shared" si="10"/>
        <v>-1199</v>
      </c>
      <c r="M57" s="2"/>
      <c r="N57" s="6">
        <f t="shared" si="11"/>
        <v>-1</v>
      </c>
      <c r="O57" s="14"/>
      <c r="P57" s="2">
        <f>SUM(OSRRefP22_4x_0)</f>
        <v>0</v>
      </c>
      <c r="Q57" s="2"/>
      <c r="R57" s="6">
        <f t="shared" si="12"/>
        <v>0</v>
      </c>
      <c r="S57" s="2"/>
      <c r="T57" s="2">
        <f>SUM(OSRRefT22_4x_0)</f>
        <v>7244</v>
      </c>
      <c r="U57" s="2"/>
      <c r="V57" s="6">
        <f t="shared" si="13"/>
        <v>1.8700225879315909E-2</v>
      </c>
      <c r="W57" s="2"/>
      <c r="X57" s="2">
        <f t="shared" si="14"/>
        <v>-7244</v>
      </c>
      <c r="Y57" s="2"/>
      <c r="Z57" s="6">
        <f t="shared" si="15"/>
        <v>-1</v>
      </c>
    </row>
    <row r="58" spans="1:26" s="70" customFormat="1" ht="15" hidden="1" customHeight="1" outlineLevel="2" x14ac:dyDescent="0.3">
      <c r="A58" s="26"/>
      <c r="B58" s="12" t="str">
        <f>CONCATENATE("          ","6381"," - ","BANK/CREDIT CARD FEES")</f>
        <v xml:space="preserve">          6381 - BANK/CREDIT CARD FEES</v>
      </c>
      <c r="C58" s="12"/>
      <c r="D58" s="8"/>
      <c r="E58" s="3"/>
      <c r="F58" s="7">
        <f t="shared" si="8"/>
        <v>0</v>
      </c>
      <c r="G58" s="3"/>
      <c r="H58" s="8">
        <v>1199</v>
      </c>
      <c r="I58" s="3"/>
      <c r="J58" s="7">
        <f t="shared" si="9"/>
        <v>1.8579929337383005E-2</v>
      </c>
      <c r="K58" s="3"/>
      <c r="L58" s="8">
        <f t="shared" si="10"/>
        <v>-1199</v>
      </c>
      <c r="M58" s="3"/>
      <c r="N58" s="7">
        <f t="shared" si="11"/>
        <v>-1</v>
      </c>
      <c r="O58" s="12"/>
      <c r="P58" s="8"/>
      <c r="Q58" s="3"/>
      <c r="R58" s="7">
        <f t="shared" si="12"/>
        <v>0</v>
      </c>
      <c r="S58" s="3"/>
      <c r="T58" s="8">
        <v>7244</v>
      </c>
      <c r="U58" s="3"/>
      <c r="V58" s="7">
        <f t="shared" si="13"/>
        <v>1.8700225879315909E-2</v>
      </c>
      <c r="W58" s="3"/>
      <c r="X58" s="8">
        <f t="shared" si="14"/>
        <v>-7244</v>
      </c>
      <c r="Y58" s="3"/>
      <c r="Z58" s="7">
        <f t="shared" si="15"/>
        <v>-1</v>
      </c>
    </row>
    <row r="59" spans="1:26" s="69" customFormat="1" ht="15" customHeight="1" outlineLevel="1" collapsed="1" x14ac:dyDescent="0.3">
      <c r="A59" s="25"/>
      <c r="B59" s="14" t="str">
        <f>CONCATENATE("     ","Discounts and Markdowns                           ")</f>
        <v xml:space="preserve">     Discounts and Markdowns                           </v>
      </c>
      <c r="C59" s="14"/>
      <c r="D59" s="2">
        <f>SUM(OSRRefD22_5x_0)</f>
        <v>0.98</v>
      </c>
      <c r="E59" s="2"/>
      <c r="F59" s="6">
        <f t="shared" si="8"/>
        <v>2.2380325775329848E-5</v>
      </c>
      <c r="G59" s="2"/>
      <c r="H59" s="2">
        <f>SUM(OSRRefH22_5x_0)</f>
        <v>0</v>
      </c>
      <c r="I59" s="2"/>
      <c r="J59" s="6">
        <f t="shared" si="9"/>
        <v>0</v>
      </c>
      <c r="K59" s="2"/>
      <c r="L59" s="2">
        <f t="shared" si="10"/>
        <v>0.98</v>
      </c>
      <c r="M59" s="2"/>
      <c r="N59" s="6">
        <f t="shared" si="11"/>
        <v>0</v>
      </c>
      <c r="O59" s="14"/>
      <c r="P59" s="2">
        <f>SUM(OSRRefP22_5x_0)</f>
        <v>0</v>
      </c>
      <c r="Q59" s="2"/>
      <c r="R59" s="6">
        <f t="shared" si="12"/>
        <v>0</v>
      </c>
      <c r="S59" s="2"/>
      <c r="T59" s="2">
        <f>SUM(OSRRefT22_5x_0)</f>
        <v>0</v>
      </c>
      <c r="U59" s="2"/>
      <c r="V59" s="6">
        <f t="shared" si="13"/>
        <v>0</v>
      </c>
      <c r="W59" s="2"/>
      <c r="X59" s="2">
        <f t="shared" si="14"/>
        <v>0</v>
      </c>
      <c r="Y59" s="2"/>
      <c r="Z59" s="6">
        <f t="shared" si="15"/>
        <v>0</v>
      </c>
    </row>
    <row r="60" spans="1:26" s="70" customFormat="1" ht="15" hidden="1" customHeight="1" outlineLevel="2" x14ac:dyDescent="0.3">
      <c r="A60" s="26"/>
      <c r="B60" s="12" t="str">
        <f>CONCATENATE("          ","6382"," - ","DISCOUNTS/MARK DOWNS")</f>
        <v xml:space="preserve">          6382 - DISCOUNTS/MARK DOWNS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/>
      <c r="Q60" s="3"/>
      <c r="R60" s="7">
        <f t="shared" si="12"/>
        <v>0</v>
      </c>
      <c r="S60" s="3"/>
      <c r="T60" s="8">
        <v>0</v>
      </c>
      <c r="U60" s="3"/>
      <c r="V60" s="7">
        <f t="shared" si="13"/>
        <v>0</v>
      </c>
      <c r="W60" s="3"/>
      <c r="X60" s="8">
        <f t="shared" si="14"/>
        <v>0</v>
      </c>
      <c r="Y60" s="3"/>
      <c r="Z60" s="7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","9175"," - ","EARNED DISCOUNTS")</f>
        <v xml:space="preserve">          9175 - EARNED DISCOUNTS</v>
      </c>
      <c r="C61" s="12"/>
      <c r="D61" s="8">
        <v>0.98</v>
      </c>
      <c r="E61" s="3"/>
      <c r="F61" s="7">
        <f t="shared" si="8"/>
        <v>2.2380325775329848E-5</v>
      </c>
      <c r="G61" s="3"/>
      <c r="H61" s="8"/>
      <c r="I61" s="3"/>
      <c r="J61" s="7">
        <f t="shared" si="9"/>
        <v>0</v>
      </c>
      <c r="K61" s="3"/>
      <c r="L61" s="8">
        <f t="shared" si="10"/>
        <v>0.98</v>
      </c>
      <c r="M61" s="3"/>
      <c r="N61" s="7">
        <f t="shared" si="11"/>
        <v>0</v>
      </c>
      <c r="O61" s="12"/>
      <c r="P61" s="8">
        <v>0</v>
      </c>
      <c r="Q61" s="3"/>
      <c r="R61" s="7">
        <f t="shared" si="12"/>
        <v>0</v>
      </c>
      <c r="S61" s="3"/>
      <c r="T61" s="8"/>
      <c r="U61" s="3"/>
      <c r="V61" s="7">
        <f t="shared" si="13"/>
        <v>0</v>
      </c>
      <c r="W61" s="3"/>
      <c r="X61" s="8">
        <f t="shared" si="14"/>
        <v>0</v>
      </c>
      <c r="Y61" s="3"/>
      <c r="Z61" s="7">
        <f t="shared" si="15"/>
        <v>0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SUM(OSRRefD22_6x_0)</f>
        <v>0</v>
      </c>
      <c r="E62" s="2"/>
      <c r="F62" s="6">
        <f t="shared" si="8"/>
        <v>0</v>
      </c>
      <c r="G62" s="2"/>
      <c r="H62" s="2">
        <f>SUM(OSRRefH22_6x_0)</f>
        <v>0</v>
      </c>
      <c r="I62" s="2"/>
      <c r="J62" s="6">
        <f t="shared" si="9"/>
        <v>0</v>
      </c>
      <c r="K62" s="2"/>
      <c r="L62" s="2">
        <f t="shared" si="10"/>
        <v>0</v>
      </c>
      <c r="M62" s="2"/>
      <c r="N62" s="6">
        <f t="shared" si="11"/>
        <v>0</v>
      </c>
      <c r="O62" s="14"/>
      <c r="P62" s="2">
        <f>SUM(OSRRefP22_6x_0)</f>
        <v>54.5</v>
      </c>
      <c r="Q62" s="2"/>
      <c r="R62" s="6">
        <f t="shared" si="12"/>
        <v>3.7919838713358297E-4</v>
      </c>
      <c r="S62" s="2"/>
      <c r="T62" s="2">
        <f>SUM(OSRRefT22_6x_0)</f>
        <v>0</v>
      </c>
      <c r="U62" s="2"/>
      <c r="V62" s="6">
        <f t="shared" si="13"/>
        <v>0</v>
      </c>
      <c r="W62" s="2"/>
      <c r="X62" s="2">
        <f t="shared" si="14"/>
        <v>54.5</v>
      </c>
      <c r="Y62" s="2"/>
      <c r="Z62" s="6">
        <f t="shared" si="15"/>
        <v>0</v>
      </c>
    </row>
    <row r="63" spans="1:26" s="70" customFormat="1" ht="15" hidden="1" customHeight="1" outlineLevel="2" x14ac:dyDescent="0.3">
      <c r="A63" s="26"/>
      <c r="B63" s="12" t="str">
        <f>CONCATENATE("          ","6307"," - ","POSTAGE")</f>
        <v xml:space="preserve">          6307 - POSTAGE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54.5</v>
      </c>
      <c r="Q63" s="3"/>
      <c r="R63" s="7">
        <f t="shared" si="12"/>
        <v>3.7919838713358297E-4</v>
      </c>
      <c r="S63" s="3"/>
      <c r="T63" s="8"/>
      <c r="U63" s="3"/>
      <c r="V63" s="7">
        <f t="shared" si="13"/>
        <v>0</v>
      </c>
      <c r="W63" s="3"/>
      <c r="X63" s="8">
        <f t="shared" si="14"/>
        <v>54.5</v>
      </c>
      <c r="Y63" s="3"/>
      <c r="Z63" s="7">
        <f t="shared" si="15"/>
        <v>0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SUM(OSRRefD22_7x_0)</f>
        <v>0</v>
      </c>
      <c r="E64" s="2"/>
      <c r="F64" s="6">
        <f t="shared" ref="F64:F82" si="16">IF(D$12=0,0,D64/D$12)</f>
        <v>0</v>
      </c>
      <c r="G64" s="2"/>
      <c r="H64" s="2">
        <f>SUM(OSRRefH22_7x_0)</f>
        <v>0</v>
      </c>
      <c r="I64" s="2"/>
      <c r="J64" s="6">
        <f t="shared" ref="J64:J82" si="17">IF(H$12=0,0,H64/H$12)</f>
        <v>0</v>
      </c>
      <c r="K64" s="2"/>
      <c r="L64" s="2">
        <f t="shared" ref="L64:L82" si="18">+D64-H64</f>
        <v>0</v>
      </c>
      <c r="M64" s="2"/>
      <c r="N64" s="6">
        <f t="shared" ref="N64:N82" si="19">IF(H64=0,0,L64/H64)</f>
        <v>0</v>
      </c>
      <c r="O64" s="14"/>
      <c r="P64" s="2">
        <f>SUM(OSRRefP22_7x_0)</f>
        <v>388.04</v>
      </c>
      <c r="Q64" s="2"/>
      <c r="R64" s="6">
        <f t="shared" ref="R64:R82" si="20">IF(P$12=0,0,P64/P$12)</f>
        <v>2.699892516391111E-3</v>
      </c>
      <c r="S64" s="2"/>
      <c r="T64" s="2">
        <f>SUM(OSRRefT22_7x_0)</f>
        <v>0</v>
      </c>
      <c r="U64" s="2"/>
      <c r="V64" s="6">
        <f t="shared" ref="V64:V82" si="21">IF(T$12=0,0,T64/T$12)</f>
        <v>0</v>
      </c>
      <c r="W64" s="2"/>
      <c r="X64" s="2">
        <f t="shared" ref="X64:X82" si="22">+P64-T64</f>
        <v>388.04</v>
      </c>
      <c r="Y64" s="2"/>
      <c r="Z64" s="6">
        <f t="shared" ref="Z64:Z82" si="23">IF(T64=0,0,X64/T64)</f>
        <v>0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8"/>
      <c r="E65" s="3"/>
      <c r="F65" s="7">
        <f t="shared" si="16"/>
        <v>0</v>
      </c>
      <c r="G65" s="3"/>
      <c r="H65" s="8">
        <v>0</v>
      </c>
      <c r="I65" s="3"/>
      <c r="J65" s="7">
        <f t="shared" si="17"/>
        <v>0</v>
      </c>
      <c r="K65" s="3"/>
      <c r="L65" s="8">
        <f t="shared" si="18"/>
        <v>0</v>
      </c>
      <c r="M65" s="3"/>
      <c r="N65" s="7">
        <f t="shared" si="19"/>
        <v>0</v>
      </c>
      <c r="O65" s="12"/>
      <c r="P65" s="8">
        <v>388.04</v>
      </c>
      <c r="Q65" s="3"/>
      <c r="R65" s="7">
        <f t="shared" si="20"/>
        <v>2.699892516391111E-3</v>
      </c>
      <c r="S65" s="3"/>
      <c r="T65" s="8">
        <v>0</v>
      </c>
      <c r="U65" s="3"/>
      <c r="V65" s="7">
        <f t="shared" si="21"/>
        <v>0</v>
      </c>
      <c r="W65" s="3"/>
      <c r="X65" s="8">
        <f t="shared" si="22"/>
        <v>388.04</v>
      </c>
      <c r="Y65" s="3"/>
      <c r="Z65" s="7">
        <f t="shared" si="23"/>
        <v>0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SUM(OSRRefD22_8x_0)</f>
        <v>650</v>
      </c>
      <c r="E66" s="2"/>
      <c r="F66" s="6">
        <f t="shared" si="16"/>
        <v>1.4844093626494286E-2</v>
      </c>
      <c r="G66" s="2"/>
      <c r="H66" s="2">
        <f>SUM(OSRRefH22_8x_0)</f>
        <v>650</v>
      </c>
      <c r="I66" s="2"/>
      <c r="J66" s="6">
        <f t="shared" si="17"/>
        <v>1.0072522159548751E-2</v>
      </c>
      <c r="K66" s="2"/>
      <c r="L66" s="2">
        <f t="shared" si="18"/>
        <v>0</v>
      </c>
      <c r="M66" s="2"/>
      <c r="N66" s="6">
        <f t="shared" si="19"/>
        <v>0</v>
      </c>
      <c r="O66" s="14"/>
      <c r="P66" s="2">
        <f>SUM(OSRRefP22_8x_0)</f>
        <v>5200</v>
      </c>
      <c r="Q66" s="2"/>
      <c r="R66" s="6">
        <f t="shared" si="20"/>
        <v>3.6180396570543699E-2</v>
      </c>
      <c r="S66" s="2"/>
      <c r="T66" s="2">
        <f>SUM(OSRRefT22_8x_0)</f>
        <v>5200</v>
      </c>
      <c r="U66" s="2"/>
      <c r="V66" s="6">
        <f t="shared" si="21"/>
        <v>1.3423685059696676E-2</v>
      </c>
      <c r="W66" s="2"/>
      <c r="X66" s="2">
        <f t="shared" si="22"/>
        <v>0</v>
      </c>
      <c r="Y66" s="2"/>
      <c r="Z66" s="6">
        <f t="shared" si="23"/>
        <v>0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8">
        <v>650</v>
      </c>
      <c r="E67" s="3"/>
      <c r="F67" s="7">
        <f t="shared" si="16"/>
        <v>1.4844093626494286E-2</v>
      </c>
      <c r="G67" s="3"/>
      <c r="H67" s="8">
        <v>650</v>
      </c>
      <c r="I67" s="3"/>
      <c r="J67" s="7">
        <f t="shared" si="17"/>
        <v>1.0072522159548751E-2</v>
      </c>
      <c r="K67" s="3"/>
      <c r="L67" s="8">
        <f t="shared" si="18"/>
        <v>0</v>
      </c>
      <c r="M67" s="3"/>
      <c r="N67" s="7">
        <f t="shared" si="19"/>
        <v>0</v>
      </c>
      <c r="O67" s="12"/>
      <c r="P67" s="8">
        <v>5200</v>
      </c>
      <c r="Q67" s="3"/>
      <c r="R67" s="7">
        <f t="shared" si="20"/>
        <v>3.6180396570543699E-2</v>
      </c>
      <c r="S67" s="3"/>
      <c r="T67" s="8">
        <v>5200</v>
      </c>
      <c r="U67" s="3"/>
      <c r="V67" s="7">
        <f t="shared" si="21"/>
        <v>1.3423685059696676E-2</v>
      </c>
      <c r="W67" s="3"/>
      <c r="X67" s="8">
        <f t="shared" si="22"/>
        <v>0</v>
      </c>
      <c r="Y67" s="3"/>
      <c r="Z67" s="7">
        <f t="shared" si="23"/>
        <v>0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SUM(OSRRefD22_9x_0)</f>
        <v>0</v>
      </c>
      <c r="E68" s="2"/>
      <c r="F68" s="6">
        <f t="shared" si="16"/>
        <v>0</v>
      </c>
      <c r="G68" s="2"/>
      <c r="H68" s="2">
        <f>SUM(OSRRefH22_9x_0)</f>
        <v>0</v>
      </c>
      <c r="I68" s="2"/>
      <c r="J68" s="6">
        <f t="shared" si="17"/>
        <v>0</v>
      </c>
      <c r="K68" s="2"/>
      <c r="L68" s="2">
        <f t="shared" si="18"/>
        <v>0</v>
      </c>
      <c r="M68" s="2"/>
      <c r="N68" s="6">
        <f t="shared" si="19"/>
        <v>0</v>
      </c>
      <c r="O68" s="14"/>
      <c r="P68" s="2">
        <f>SUM(OSRRefP22_9x_0)</f>
        <v>383.39</v>
      </c>
      <c r="Q68" s="2"/>
      <c r="R68" s="6">
        <f t="shared" si="20"/>
        <v>2.6675388925347593E-3</v>
      </c>
      <c r="S68" s="2"/>
      <c r="T68" s="2">
        <f>SUM(OSRRefT22_9x_0)</f>
        <v>0</v>
      </c>
      <c r="U68" s="2"/>
      <c r="V68" s="6">
        <f t="shared" si="21"/>
        <v>0</v>
      </c>
      <c r="W68" s="2"/>
      <c r="X68" s="2">
        <f t="shared" si="22"/>
        <v>383.39</v>
      </c>
      <c r="Y68" s="2"/>
      <c r="Z68" s="6">
        <f t="shared" si="23"/>
        <v>0</v>
      </c>
    </row>
    <row r="69" spans="1:26" s="70" customFormat="1" ht="15" hidden="1" customHeight="1" outlineLevel="2" x14ac:dyDescent="0.3">
      <c r="A69" s="26"/>
      <c r="B69" s="12" t="str">
        <f>CONCATENATE("          ","6373"," - ","MAINTENANCE CONTRACTS")</f>
        <v xml:space="preserve">          6373 - MAINTENANCE CONTRACTS</v>
      </c>
      <c r="C69" s="12"/>
      <c r="D69" s="8"/>
      <c r="E69" s="3"/>
      <c r="F69" s="7">
        <f t="shared" si="16"/>
        <v>0</v>
      </c>
      <c r="G69" s="3"/>
      <c r="H69" s="8"/>
      <c r="I69" s="3"/>
      <c r="J69" s="7">
        <f t="shared" si="17"/>
        <v>0</v>
      </c>
      <c r="K69" s="3"/>
      <c r="L69" s="8">
        <f t="shared" si="18"/>
        <v>0</v>
      </c>
      <c r="M69" s="3"/>
      <c r="N69" s="7">
        <f t="shared" si="19"/>
        <v>0</v>
      </c>
      <c r="O69" s="12"/>
      <c r="P69" s="8">
        <v>200.17</v>
      </c>
      <c r="Q69" s="3"/>
      <c r="R69" s="7">
        <f t="shared" si="20"/>
        <v>1.3927365349087944E-3</v>
      </c>
      <c r="S69" s="3"/>
      <c r="T69" s="8"/>
      <c r="U69" s="3"/>
      <c r="V69" s="7">
        <f t="shared" si="21"/>
        <v>0</v>
      </c>
      <c r="W69" s="3"/>
      <c r="X69" s="8">
        <f t="shared" si="22"/>
        <v>200.17</v>
      </c>
      <c r="Y69" s="3"/>
      <c r="Z69" s="7">
        <f t="shared" si="23"/>
        <v>0</v>
      </c>
    </row>
    <row r="70" spans="1:26" s="70" customFormat="1" ht="15" hidden="1" customHeight="1" outlineLevel="2" x14ac:dyDescent="0.3">
      <c r="A70" s="26"/>
      <c r="B70" s="12" t="str">
        <f>CONCATENATE("          ","6375"," - ","OUTSIDE REPAIRS &amp; MAINTENANCE")</f>
        <v xml:space="preserve">          6375 - OUTSIDE REPAIRS &amp; MAINTENANCE</v>
      </c>
      <c r="C70" s="12"/>
      <c r="D70" s="8"/>
      <c r="E70" s="3"/>
      <c r="F70" s="7">
        <f t="shared" si="16"/>
        <v>0</v>
      </c>
      <c r="G70" s="3"/>
      <c r="H70" s="8"/>
      <c r="I70" s="3"/>
      <c r="J70" s="7">
        <f t="shared" si="17"/>
        <v>0</v>
      </c>
      <c r="K70" s="3"/>
      <c r="L70" s="8">
        <f t="shared" si="18"/>
        <v>0</v>
      </c>
      <c r="M70" s="3"/>
      <c r="N70" s="7">
        <f t="shared" si="19"/>
        <v>0</v>
      </c>
      <c r="O70" s="12"/>
      <c r="P70" s="8">
        <v>183.22</v>
      </c>
      <c r="Q70" s="3"/>
      <c r="R70" s="7">
        <f t="shared" si="20"/>
        <v>1.2748023576259647E-3</v>
      </c>
      <c r="S70" s="3"/>
      <c r="T70" s="8"/>
      <c r="U70" s="3"/>
      <c r="V70" s="7">
        <f t="shared" si="21"/>
        <v>0</v>
      </c>
      <c r="W70" s="3"/>
      <c r="X70" s="8">
        <f t="shared" si="22"/>
        <v>183.22</v>
      </c>
      <c r="Y70" s="3"/>
      <c r="Z70" s="7">
        <f t="shared" si="23"/>
        <v>0</v>
      </c>
    </row>
    <row r="71" spans="1:26" s="69" customFormat="1" ht="15" customHeight="1" outlineLevel="1" collapsed="1" x14ac:dyDescent="0.3">
      <c r="A71" s="25"/>
      <c r="B71" s="14" t="str">
        <f>CONCATENATE("     ","Services                                          ")</f>
        <v xml:space="preserve">     Services                                          </v>
      </c>
      <c r="C71" s="14"/>
      <c r="D71" s="2">
        <f>SUM(OSRRefD22_10x_0)</f>
        <v>204.81</v>
      </c>
      <c r="E71" s="2"/>
      <c r="F71" s="6">
        <f t="shared" si="16"/>
        <v>4.677259716372761E-3</v>
      </c>
      <c r="G71" s="2"/>
      <c r="H71" s="2">
        <f>SUM(OSRRefH22_10x_0)</f>
        <v>0</v>
      </c>
      <c r="I71" s="2"/>
      <c r="J71" s="6">
        <f t="shared" si="17"/>
        <v>0</v>
      </c>
      <c r="K71" s="2"/>
      <c r="L71" s="2">
        <f t="shared" si="18"/>
        <v>204.81</v>
      </c>
      <c r="M71" s="2"/>
      <c r="N71" s="6">
        <f t="shared" si="19"/>
        <v>0</v>
      </c>
      <c r="O71" s="14"/>
      <c r="P71" s="2">
        <f>SUM(OSRRefP22_10x_0)</f>
        <v>3930.0299999999997</v>
      </c>
      <c r="Q71" s="2"/>
      <c r="R71" s="6">
        <f t="shared" si="20"/>
        <v>2.734423921810266E-2</v>
      </c>
      <c r="S71" s="2"/>
      <c r="T71" s="2">
        <f>SUM(OSRRefT22_10x_0)</f>
        <v>0</v>
      </c>
      <c r="U71" s="2"/>
      <c r="V71" s="6">
        <f t="shared" si="21"/>
        <v>0</v>
      </c>
      <c r="W71" s="2"/>
      <c r="X71" s="2">
        <f t="shared" si="22"/>
        <v>3930.0299999999997</v>
      </c>
      <c r="Y71" s="2"/>
      <c r="Z71" s="6">
        <f t="shared" si="23"/>
        <v>0</v>
      </c>
    </row>
    <row r="72" spans="1:26" s="70" customFormat="1" ht="15" hidden="1" customHeight="1" outlineLevel="2" x14ac:dyDescent="0.3">
      <c r="A72" s="26"/>
      <c r="B72" s="12" t="str">
        <f>CONCATENATE("          ","6282"," - ","JANITORIAL/EXTERMINATOR EXPENS")</f>
        <v xml:space="preserve">          6282 - JANITORIAL/EXTERMINATOR EXPENS</v>
      </c>
      <c r="C72" s="12"/>
      <c r="D72" s="8">
        <v>69</v>
      </c>
      <c r="E72" s="3"/>
      <c r="F72" s="7">
        <f t="shared" si="16"/>
        <v>1.5757576311201628E-3</v>
      </c>
      <c r="G72" s="3"/>
      <c r="H72" s="8"/>
      <c r="I72" s="3"/>
      <c r="J72" s="7">
        <f t="shared" si="17"/>
        <v>0</v>
      </c>
      <c r="K72" s="3"/>
      <c r="L72" s="8">
        <f t="shared" si="18"/>
        <v>69</v>
      </c>
      <c r="M72" s="3"/>
      <c r="N72" s="7">
        <f t="shared" si="19"/>
        <v>0</v>
      </c>
      <c r="O72" s="12"/>
      <c r="P72" s="8">
        <v>767.6</v>
      </c>
      <c r="Q72" s="3"/>
      <c r="R72" s="7">
        <f t="shared" si="20"/>
        <v>5.3407831552979507E-3</v>
      </c>
      <c r="S72" s="3"/>
      <c r="T72" s="8"/>
      <c r="U72" s="3"/>
      <c r="V72" s="7">
        <f t="shared" si="21"/>
        <v>0</v>
      </c>
      <c r="W72" s="3"/>
      <c r="X72" s="8">
        <f t="shared" si="22"/>
        <v>767.6</v>
      </c>
      <c r="Y72" s="3"/>
      <c r="Z72" s="7">
        <f t="shared" si="23"/>
        <v>0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8">
        <v>135.81</v>
      </c>
      <c r="E73" s="3"/>
      <c r="F73" s="7">
        <f t="shared" si="16"/>
        <v>3.1015020852525987E-3</v>
      </c>
      <c r="G73" s="3"/>
      <c r="H73" s="8"/>
      <c r="I73" s="3"/>
      <c r="J73" s="7">
        <f t="shared" si="17"/>
        <v>0</v>
      </c>
      <c r="K73" s="3"/>
      <c r="L73" s="8">
        <f t="shared" si="18"/>
        <v>135.81</v>
      </c>
      <c r="M73" s="3"/>
      <c r="N73" s="7">
        <f t="shared" si="19"/>
        <v>0</v>
      </c>
      <c r="O73" s="12"/>
      <c r="P73" s="8">
        <v>3162.43</v>
      </c>
      <c r="Q73" s="3"/>
      <c r="R73" s="7">
        <f t="shared" si="20"/>
        <v>2.200345606280471E-2</v>
      </c>
      <c r="S73" s="3"/>
      <c r="T73" s="8"/>
      <c r="U73" s="3"/>
      <c r="V73" s="7">
        <f t="shared" si="21"/>
        <v>0</v>
      </c>
      <c r="W73" s="3"/>
      <c r="X73" s="8">
        <f t="shared" si="22"/>
        <v>3162.43</v>
      </c>
      <c r="Y73" s="3"/>
      <c r="Z73" s="7">
        <f t="shared" si="23"/>
        <v>0</v>
      </c>
    </row>
    <row r="74" spans="1:26" s="69" customFormat="1" ht="15" customHeight="1" outlineLevel="1" collapsed="1" x14ac:dyDescent="0.3">
      <c r="A74" s="2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SUM(OSRRefD22_11x_0)</f>
        <v>45.27</v>
      </c>
      <c r="E74" s="2"/>
      <c r="F74" s="6">
        <f t="shared" si="16"/>
        <v>1.0338340284175328E-3</v>
      </c>
      <c r="G74" s="2"/>
      <c r="H74" s="2">
        <f>SUM(OSRRefH22_11x_0)</f>
        <v>0</v>
      </c>
      <c r="I74" s="2"/>
      <c r="J74" s="6">
        <f t="shared" si="17"/>
        <v>0</v>
      </c>
      <c r="K74" s="2"/>
      <c r="L74" s="2">
        <f t="shared" si="18"/>
        <v>45.27</v>
      </c>
      <c r="M74" s="2"/>
      <c r="N74" s="6">
        <f t="shared" si="19"/>
        <v>0</v>
      </c>
      <c r="O74" s="14"/>
      <c r="P74" s="2">
        <f>SUM(OSRRefP22_11x_0)</f>
        <v>45.27</v>
      </c>
      <c r="Q74" s="2"/>
      <c r="R74" s="6">
        <f t="shared" si="20"/>
        <v>3.1497818322086794E-4</v>
      </c>
      <c r="S74" s="2"/>
      <c r="T74" s="2">
        <f>SUM(OSRRefT22_11x_0)</f>
        <v>0</v>
      </c>
      <c r="U74" s="2"/>
      <c r="V74" s="6">
        <f t="shared" si="21"/>
        <v>0</v>
      </c>
      <c r="W74" s="2"/>
      <c r="X74" s="2">
        <f t="shared" si="22"/>
        <v>45.27</v>
      </c>
      <c r="Y74" s="2"/>
      <c r="Z74" s="6">
        <f t="shared" si="23"/>
        <v>0</v>
      </c>
    </row>
    <row r="75" spans="1:26" s="70" customFormat="1" ht="15" hidden="1" customHeight="1" outlineLevel="2" x14ac:dyDescent="0.3">
      <c r="A75" s="26"/>
      <c r="B75" s="12" t="str">
        <f>CONCATENATE("          ","6258"," - ","MEMBERSHIP DUES")</f>
        <v xml:space="preserve">          6258 - MEMBERSHIP DUES</v>
      </c>
      <c r="C75" s="12"/>
      <c r="D75" s="8">
        <v>45.27</v>
      </c>
      <c r="E75" s="3"/>
      <c r="F75" s="7">
        <f t="shared" si="16"/>
        <v>1.0338340284175328E-3</v>
      </c>
      <c r="G75" s="3"/>
      <c r="H75" s="8"/>
      <c r="I75" s="3"/>
      <c r="J75" s="7">
        <f t="shared" si="17"/>
        <v>0</v>
      </c>
      <c r="K75" s="3"/>
      <c r="L75" s="8">
        <f t="shared" si="18"/>
        <v>45.27</v>
      </c>
      <c r="M75" s="3"/>
      <c r="N75" s="7">
        <f t="shared" si="19"/>
        <v>0</v>
      </c>
      <c r="O75" s="12"/>
      <c r="P75" s="8">
        <v>45.27</v>
      </c>
      <c r="Q75" s="3"/>
      <c r="R75" s="7">
        <f t="shared" si="20"/>
        <v>3.1497818322086794E-4</v>
      </c>
      <c r="S75" s="3"/>
      <c r="T75" s="8"/>
      <c r="U75" s="3"/>
      <c r="V75" s="7">
        <f t="shared" si="21"/>
        <v>0</v>
      </c>
      <c r="W75" s="3"/>
      <c r="X75" s="8">
        <f t="shared" si="22"/>
        <v>45.27</v>
      </c>
      <c r="Y75" s="3"/>
      <c r="Z75" s="7">
        <f t="shared" si="23"/>
        <v>0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SUM(OSRRefD22_12x_0)</f>
        <v>0</v>
      </c>
      <c r="E76" s="2"/>
      <c r="F76" s="6">
        <f t="shared" si="16"/>
        <v>0</v>
      </c>
      <c r="G76" s="2"/>
      <c r="H76" s="2">
        <f>SUM(OSRRefH22_12x_0)</f>
        <v>75</v>
      </c>
      <c r="I76" s="2"/>
      <c r="J76" s="6">
        <f t="shared" si="17"/>
        <v>1.1622140953325482E-3</v>
      </c>
      <c r="K76" s="2"/>
      <c r="L76" s="2">
        <f t="shared" si="18"/>
        <v>-75</v>
      </c>
      <c r="M76" s="2"/>
      <c r="N76" s="6">
        <f t="shared" si="19"/>
        <v>-1</v>
      </c>
      <c r="O76" s="14"/>
      <c r="P76" s="2">
        <f>SUM(OSRRefP22_12x_0)</f>
        <v>1747.49</v>
      </c>
      <c r="Q76" s="2"/>
      <c r="R76" s="6">
        <f t="shared" si="20"/>
        <v>1.2158631000588347E-2</v>
      </c>
      <c r="S76" s="2"/>
      <c r="T76" s="2">
        <f>SUM(OSRRefT22_12x_0)</f>
        <v>600</v>
      </c>
      <c r="U76" s="2"/>
      <c r="V76" s="6">
        <f t="shared" si="21"/>
        <v>1.5488867376573089E-3</v>
      </c>
      <c r="W76" s="2"/>
      <c r="X76" s="2">
        <f t="shared" si="22"/>
        <v>1147.49</v>
      </c>
      <c r="Y76" s="2"/>
      <c r="Z76" s="6">
        <f t="shared" si="23"/>
        <v>1.9124833333333333</v>
      </c>
    </row>
    <row r="77" spans="1:26" s="70" customFormat="1" ht="15" hidden="1" customHeight="1" outlineLevel="2" x14ac:dyDescent="0.3">
      <c r="A77" s="26"/>
      <c r="B77" s="12" t="str">
        <f>CONCATENATE("          ","6234"," - ","EXPENDABLE SUPPLIES &amp; EQUIPMEN")</f>
        <v xml:space="preserve">          6234 - EXPENDABLE SUPPLIES &amp; EQUIPMEN</v>
      </c>
      <c r="C77" s="12"/>
      <c r="D77" s="8"/>
      <c r="E77" s="3"/>
      <c r="F77" s="7">
        <f t="shared" si="16"/>
        <v>0</v>
      </c>
      <c r="G77" s="3"/>
      <c r="H77" s="8"/>
      <c r="I77" s="3"/>
      <c r="J77" s="7">
        <f t="shared" si="17"/>
        <v>0</v>
      </c>
      <c r="K77" s="3"/>
      <c r="L77" s="8">
        <f t="shared" si="18"/>
        <v>0</v>
      </c>
      <c r="M77" s="3"/>
      <c r="N77" s="7">
        <f t="shared" si="19"/>
        <v>0</v>
      </c>
      <c r="O77" s="12"/>
      <c r="P77" s="8">
        <v>1393.55</v>
      </c>
      <c r="Q77" s="3"/>
      <c r="R77" s="7">
        <f t="shared" si="20"/>
        <v>9.6959983924771471E-3</v>
      </c>
      <c r="S77" s="3"/>
      <c r="T77" s="8"/>
      <c r="U77" s="3"/>
      <c r="V77" s="7">
        <f t="shared" si="21"/>
        <v>0</v>
      </c>
      <c r="W77" s="3"/>
      <c r="X77" s="8">
        <f t="shared" si="22"/>
        <v>1393.55</v>
      </c>
      <c r="Y77" s="3"/>
      <c r="Z77" s="7">
        <f t="shared" si="23"/>
        <v>0</v>
      </c>
    </row>
    <row r="78" spans="1:26" s="70" customFormat="1" ht="15" hidden="1" customHeight="1" outlineLevel="2" x14ac:dyDescent="0.3">
      <c r="A78" s="26"/>
      <c r="B78" s="12" t="str">
        <f>CONCATENATE("          ","6235"," - ","COVID-19 EXPENSES")</f>
        <v xml:space="preserve">          6235 - COVID-19 EXPENSES</v>
      </c>
      <c r="C78" s="12"/>
      <c r="D78" s="8"/>
      <c r="E78" s="3"/>
      <c r="F78" s="7">
        <f t="shared" si="16"/>
        <v>0</v>
      </c>
      <c r="G78" s="3"/>
      <c r="H78" s="8">
        <v>25</v>
      </c>
      <c r="I78" s="3"/>
      <c r="J78" s="7">
        <f t="shared" si="17"/>
        <v>3.8740469844418274E-4</v>
      </c>
      <c r="K78" s="3"/>
      <c r="L78" s="8">
        <f t="shared" si="18"/>
        <v>-25</v>
      </c>
      <c r="M78" s="3"/>
      <c r="N78" s="7">
        <f t="shared" si="19"/>
        <v>-1</v>
      </c>
      <c r="O78" s="12"/>
      <c r="P78" s="8"/>
      <c r="Q78" s="3"/>
      <c r="R78" s="7">
        <f t="shared" si="20"/>
        <v>0</v>
      </c>
      <c r="S78" s="3"/>
      <c r="T78" s="8">
        <v>200</v>
      </c>
      <c r="U78" s="3"/>
      <c r="V78" s="7">
        <f t="shared" si="21"/>
        <v>5.1629557921910297E-4</v>
      </c>
      <c r="W78" s="3"/>
      <c r="X78" s="8">
        <f t="shared" si="22"/>
        <v>-200</v>
      </c>
      <c r="Y78" s="3"/>
      <c r="Z78" s="7">
        <f t="shared" si="23"/>
        <v>-1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8"/>
      <c r="E79" s="3"/>
      <c r="F79" s="7">
        <f t="shared" si="16"/>
        <v>0</v>
      </c>
      <c r="G79" s="3"/>
      <c r="H79" s="8">
        <v>25</v>
      </c>
      <c r="I79" s="3"/>
      <c r="J79" s="7">
        <f t="shared" si="17"/>
        <v>3.8740469844418274E-4</v>
      </c>
      <c r="K79" s="3"/>
      <c r="L79" s="8">
        <f t="shared" si="18"/>
        <v>-25</v>
      </c>
      <c r="M79" s="3"/>
      <c r="N79" s="7">
        <f t="shared" si="19"/>
        <v>-1</v>
      </c>
      <c r="O79" s="12"/>
      <c r="P79" s="8">
        <v>11.03</v>
      </c>
      <c r="Q79" s="3"/>
      <c r="R79" s="7">
        <f t="shared" si="20"/>
        <v>7.6744187340980181E-5</v>
      </c>
      <c r="S79" s="3"/>
      <c r="T79" s="8">
        <v>200</v>
      </c>
      <c r="U79" s="3"/>
      <c r="V79" s="7">
        <f t="shared" si="21"/>
        <v>5.1629557921910297E-4</v>
      </c>
      <c r="W79" s="3"/>
      <c r="X79" s="8">
        <f t="shared" si="22"/>
        <v>-188.97</v>
      </c>
      <c r="Y79" s="3"/>
      <c r="Z79" s="7">
        <f t="shared" si="23"/>
        <v>-0.94484999999999997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8"/>
      <c r="E80" s="3"/>
      <c r="F80" s="7">
        <f t="shared" si="16"/>
        <v>0</v>
      </c>
      <c r="G80" s="3"/>
      <c r="H80" s="8">
        <v>25</v>
      </c>
      <c r="I80" s="3"/>
      <c r="J80" s="7">
        <f t="shared" si="17"/>
        <v>3.8740469844418274E-4</v>
      </c>
      <c r="K80" s="3"/>
      <c r="L80" s="8">
        <f t="shared" si="18"/>
        <v>-25</v>
      </c>
      <c r="M80" s="3"/>
      <c r="N80" s="7">
        <f t="shared" si="19"/>
        <v>-1</v>
      </c>
      <c r="O80" s="12"/>
      <c r="P80" s="8">
        <v>342.91</v>
      </c>
      <c r="Q80" s="3"/>
      <c r="R80" s="7">
        <f t="shared" si="20"/>
        <v>2.3858884207702191E-3</v>
      </c>
      <c r="S80" s="3"/>
      <c r="T80" s="8">
        <v>200</v>
      </c>
      <c r="U80" s="3"/>
      <c r="V80" s="7">
        <f t="shared" si="21"/>
        <v>5.1629557921910297E-4</v>
      </c>
      <c r="W80" s="3"/>
      <c r="X80" s="8">
        <f t="shared" si="22"/>
        <v>142.91000000000003</v>
      </c>
      <c r="Y80" s="3"/>
      <c r="Z80" s="7">
        <f t="shared" si="23"/>
        <v>0.71455000000000013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SUM(OSRRefD22_13x_0)</f>
        <v>37</v>
      </c>
      <c r="E81" s="2"/>
      <c r="F81" s="6">
        <f t="shared" si="16"/>
        <v>8.4497148335429021E-4</v>
      </c>
      <c r="G81" s="2"/>
      <c r="H81" s="2">
        <f>SUM(OSRRefH22_13x_0)</f>
        <v>60</v>
      </c>
      <c r="I81" s="2"/>
      <c r="J81" s="6">
        <f t="shared" si="17"/>
        <v>9.297712762660385E-4</v>
      </c>
      <c r="K81" s="2"/>
      <c r="L81" s="2">
        <f t="shared" si="18"/>
        <v>-23</v>
      </c>
      <c r="M81" s="2"/>
      <c r="N81" s="6">
        <f t="shared" si="19"/>
        <v>-0.38333333333333336</v>
      </c>
      <c r="O81" s="14"/>
      <c r="P81" s="2">
        <f>SUM(OSRRefP22_13x_0)</f>
        <v>355.14</v>
      </c>
      <c r="Q81" s="2"/>
      <c r="R81" s="6">
        <f t="shared" si="20"/>
        <v>2.4709819303967095E-3</v>
      </c>
      <c r="S81" s="2"/>
      <c r="T81" s="2">
        <f>SUM(OSRRefT22_13x_0)</f>
        <v>480</v>
      </c>
      <c r="U81" s="2"/>
      <c r="V81" s="6">
        <f t="shared" si="21"/>
        <v>1.2391093901258469E-3</v>
      </c>
      <c r="W81" s="2"/>
      <c r="X81" s="2">
        <f t="shared" si="22"/>
        <v>-124.86000000000001</v>
      </c>
      <c r="Y81" s="2"/>
      <c r="Z81" s="6">
        <f t="shared" si="23"/>
        <v>-0.26012500000000005</v>
      </c>
    </row>
    <row r="82" spans="1:26" s="70" customFormat="1" ht="15" hidden="1" customHeight="1" outlineLevel="2" x14ac:dyDescent="0.3">
      <c r="A82" s="26"/>
      <c r="B82" s="12" t="str">
        <f>CONCATENATE("          ","6309"," - ","TELEPHONE")</f>
        <v xml:space="preserve">          6309 - TELEPHONE</v>
      </c>
      <c r="C82" s="12"/>
      <c r="D82" s="8">
        <v>37</v>
      </c>
      <c r="E82" s="3"/>
      <c r="F82" s="7">
        <f t="shared" si="16"/>
        <v>8.4497148335429021E-4</v>
      </c>
      <c r="G82" s="3"/>
      <c r="H82" s="8">
        <v>60</v>
      </c>
      <c r="I82" s="3"/>
      <c r="J82" s="7">
        <f t="shared" si="17"/>
        <v>9.297712762660385E-4</v>
      </c>
      <c r="K82" s="3"/>
      <c r="L82" s="8">
        <f t="shared" si="18"/>
        <v>-23</v>
      </c>
      <c r="M82" s="3"/>
      <c r="N82" s="7">
        <f t="shared" si="19"/>
        <v>-0.38333333333333336</v>
      </c>
      <c r="O82" s="12"/>
      <c r="P82" s="8">
        <v>355.14</v>
      </c>
      <c r="Q82" s="3"/>
      <c r="R82" s="7">
        <f t="shared" si="20"/>
        <v>2.4709819303967095E-3</v>
      </c>
      <c r="S82" s="3"/>
      <c r="T82" s="8">
        <v>480</v>
      </c>
      <c r="U82" s="3"/>
      <c r="V82" s="7">
        <f t="shared" si="21"/>
        <v>1.2391093901258469E-3</v>
      </c>
      <c r="W82" s="3"/>
      <c r="X82" s="8">
        <f t="shared" si="22"/>
        <v>-124.86000000000001</v>
      </c>
      <c r="Y82" s="3"/>
      <c r="Z82" s="7">
        <f t="shared" si="23"/>
        <v>-0.26012500000000005</v>
      </c>
    </row>
    <row r="83" spans="1:26" s="65" customFormat="1" ht="15" customHeight="1" x14ac:dyDescent="0.3">
      <c r="A83" s="35"/>
      <c r="B83" s="35"/>
      <c r="C83" s="35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O83" s="35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63" customFormat="1" ht="15" customHeight="1" x14ac:dyDescent="0.3">
      <c r="A84" s="11"/>
      <c r="B84" s="27" t="s">
        <v>291</v>
      </c>
      <c r="C84" s="11"/>
      <c r="D84" s="5">
        <f>SUM(0)</f>
        <v>0</v>
      </c>
      <c r="E84" s="5"/>
      <c r="F84" s="13">
        <f>IF(D$12=0,0,D84/D$12)</f>
        <v>0</v>
      </c>
      <c r="G84" s="5"/>
      <c r="H84" s="5">
        <f>SUM(0)</f>
        <v>0</v>
      </c>
      <c r="I84" s="5"/>
      <c r="J84" s="13">
        <f>IF(H$12=0,0,H84/H$12)</f>
        <v>0</v>
      </c>
      <c r="K84" s="5"/>
      <c r="L84" s="5">
        <f>+D84-H84</f>
        <v>0</v>
      </c>
      <c r="M84" s="5"/>
      <c r="N84" s="13">
        <f>IF(H84=0,0,L84/H84)</f>
        <v>0</v>
      </c>
      <c r="O84" s="11"/>
      <c r="P84" s="5">
        <f>SUM(0)</f>
        <v>0</v>
      </c>
      <c r="Q84" s="5"/>
      <c r="R84" s="13">
        <f>IF(P$12=0,0,P84/P$12)</f>
        <v>0</v>
      </c>
      <c r="S84" s="5"/>
      <c r="T84" s="5">
        <f>SUM(0)</f>
        <v>0</v>
      </c>
      <c r="U84" s="5"/>
      <c r="V84" s="13">
        <f>IF(T$12=0,0,T84/T$12)</f>
        <v>0</v>
      </c>
      <c r="W84" s="5"/>
      <c r="X84" s="5">
        <f>+P84-T84</f>
        <v>0</v>
      </c>
      <c r="Y84" s="5"/>
      <c r="Z84" s="13">
        <f>IF(T84=0,0,X84/T84)</f>
        <v>0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3" customFormat="1" ht="15" customHeight="1" x14ac:dyDescent="0.3">
      <c r="A86" s="11"/>
      <c r="B86" s="28" t="s">
        <v>292</v>
      </c>
      <c r="C86" s="28"/>
      <c r="D86" s="21">
        <f>+D30-D32+D84</f>
        <v>12221.429999999997</v>
      </c>
      <c r="E86" s="15"/>
      <c r="F86" s="22">
        <f>IF(D$12=0,0,D86/D$12)</f>
        <v>0.27910161718407078</v>
      </c>
      <c r="G86" s="15"/>
      <c r="H86" s="21">
        <f>+H30-H32+H84</f>
        <v>17288.151308</v>
      </c>
      <c r="I86" s="15"/>
      <c r="J86" s="22">
        <f>IF(H$12=0,0,H86/H$12)</f>
        <v>0.26790044176532574</v>
      </c>
      <c r="K86" s="16"/>
      <c r="L86" s="21">
        <f>+D86-H86</f>
        <v>-5066.7213080000038</v>
      </c>
      <c r="M86" s="16"/>
      <c r="N86" s="22">
        <f>IF(H86=0,0,L86/H86)</f>
        <v>-0.29307478964829542</v>
      </c>
      <c r="O86" s="27"/>
      <c r="P86" s="21">
        <f>+P30-P32+P84</f>
        <v>20794.000000000022</v>
      </c>
      <c r="Q86" s="15"/>
      <c r="R86" s="22">
        <f>IF(P$12=0,0,P86/P$12)</f>
        <v>0.14467983967074738</v>
      </c>
      <c r="S86" s="15"/>
      <c r="T86" s="21">
        <f>+T30-T32+T84</f>
        <v>76203.551692999987</v>
      </c>
      <c r="U86" s="15"/>
      <c r="V86" s="22">
        <f>IF(T$12=0,0,T86/T$12)</f>
        <v>0.19671778429945141</v>
      </c>
      <c r="W86" s="16"/>
      <c r="X86" s="21">
        <f>+P86-T86</f>
        <v>-55409.551692999965</v>
      </c>
      <c r="Y86" s="16"/>
      <c r="Z86" s="22">
        <f>IF(T86=0,0,X86/T86)</f>
        <v>-0.72712557960851387</v>
      </c>
    </row>
    <row r="87" spans="1:26" ht="15" customHeight="1" x14ac:dyDescent="0.3">
      <c r="A87" s="10"/>
      <c r="B87" s="11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49"/>
      <c r="B88" s="11" t="s">
        <v>293</v>
      </c>
      <c r="C88" s="11"/>
      <c r="D88" s="5">
        <v>4711.8100000000004</v>
      </c>
      <c r="E88" s="5"/>
      <c r="F88" s="13">
        <f>IF(D$12=0,0,D88/D$12)</f>
        <v>0.10760392121577239</v>
      </c>
      <c r="G88" s="5"/>
      <c r="H88" s="5">
        <v>6905</v>
      </c>
      <c r="I88" s="5"/>
      <c r="J88" s="13">
        <f>IF(H$12=0,0,H88/H$12)</f>
        <v>0.10700117771028327</v>
      </c>
      <c r="K88" s="5"/>
      <c r="L88" s="5">
        <f>+D88-H88</f>
        <v>-2193.1899999999996</v>
      </c>
      <c r="M88" s="5"/>
      <c r="N88" s="13">
        <f>IF(H88=0,0,L88/H88)</f>
        <v>-0.3176234612599565</v>
      </c>
      <c r="O88" s="11"/>
      <c r="P88" s="5">
        <v>17940.05</v>
      </c>
      <c r="Q88" s="5"/>
      <c r="R88" s="13">
        <f>IF(P$12=0,0,P88/P$12)</f>
        <v>0.12482271605680431</v>
      </c>
      <c r="S88" s="5"/>
      <c r="T88" s="5">
        <v>47356</v>
      </c>
      <c r="U88" s="5"/>
      <c r="V88" s="13">
        <f>IF(T$12=0,0,T88/T$12)</f>
        <v>0.12224846724749919</v>
      </c>
      <c r="W88" s="5"/>
      <c r="X88" s="5">
        <f>+P88-T88</f>
        <v>-29415.95</v>
      </c>
      <c r="Y88" s="5"/>
      <c r="Z88" s="13">
        <f>IF(T88=0,0,X88/T88)</f>
        <v>-0.62116627248923051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11"/>
      <c r="B90" s="28" t="s">
        <v>294</v>
      </c>
      <c r="C90" s="28"/>
      <c r="D90" s="33">
        <f>+D86-D88</f>
        <v>7509.6199999999963</v>
      </c>
      <c r="E90" s="15"/>
      <c r="F90" s="32">
        <f>IF(D$12=0,0,D90/D$12)</f>
        <v>0.17149769596829842</v>
      </c>
      <c r="G90" s="15"/>
      <c r="H90" s="33">
        <f>+H86-H88</f>
        <v>10383.151308</v>
      </c>
      <c r="I90" s="15"/>
      <c r="J90" s="32">
        <f>IF(H$12=0,0,H90/H$12)</f>
        <v>0.16089926405504246</v>
      </c>
      <c r="K90" s="16"/>
      <c r="L90" s="33">
        <f>D90-H90</f>
        <v>-2873.5313080000042</v>
      </c>
      <c r="M90" s="16"/>
      <c r="N90" s="32">
        <f>IF(H90=0,0,L90/H90)</f>
        <v>-0.27674943981467442</v>
      </c>
      <c r="O90" s="27"/>
      <c r="P90" s="33">
        <f>+P86-P88</f>
        <v>2853.9500000000226</v>
      </c>
      <c r="Q90" s="15"/>
      <c r="R90" s="32">
        <f>IF(P$12=0,0,P90/P$12)</f>
        <v>1.9857123613943078E-2</v>
      </c>
      <c r="S90" s="15"/>
      <c r="T90" s="33">
        <f>+T86-T88</f>
        <v>28847.551692999987</v>
      </c>
      <c r="U90" s="15"/>
      <c r="V90" s="32">
        <f>IF(T$12=0,0,T90/T$12)</f>
        <v>7.4469317051952214E-2</v>
      </c>
      <c r="W90" s="16"/>
      <c r="X90" s="33">
        <f>P90-T90</f>
        <v>-25993.601692999964</v>
      </c>
      <c r="Y90" s="16"/>
      <c r="Z90" s="32">
        <f>IF(T90=0,0,X90/T90)</f>
        <v>-0.90106786078859691</v>
      </c>
    </row>
    <row r="91" spans="1:26" ht="15" customHeight="1" x14ac:dyDescent="0.3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ht="15" customHeight="1" x14ac:dyDescent="0.3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8" t="s">
        <v>297</v>
      </c>
      <c r="C93" s="28"/>
      <c r="D93" s="34">
        <f>SUM(D90:D92)</f>
        <v>7509.6199999999963</v>
      </c>
      <c r="E93" s="15"/>
      <c r="F93" s="30">
        <f>IF(D$12=0,0,D93/D$12)</f>
        <v>0.17149769596829842</v>
      </c>
      <c r="G93" s="15"/>
      <c r="H93" s="34">
        <f>SUM(H90:H92)</f>
        <v>10383.151308</v>
      </c>
      <c r="I93" s="15"/>
      <c r="J93" s="30">
        <f>IF(H$12=0,0,H93/H$12)</f>
        <v>0.16089926405504246</v>
      </c>
      <c r="K93" s="16"/>
      <c r="L93" s="34">
        <f>+D93-H93</f>
        <v>-2873.5313080000042</v>
      </c>
      <c r="M93" s="16"/>
      <c r="N93" s="30">
        <f>IF(H93=0,0,L93/H93)</f>
        <v>-0.27674943981467442</v>
      </c>
      <c r="O93" s="27"/>
      <c r="P93" s="34">
        <f>SUM(P90:P92)</f>
        <v>2853.9500000000226</v>
      </c>
      <c r="Q93" s="15"/>
      <c r="R93" s="30">
        <f>IF(P$12=0,0,P93/P$12)</f>
        <v>1.9857123613943078E-2</v>
      </c>
      <c r="S93" s="15"/>
      <c r="T93" s="34">
        <f>SUM(T90:T92)</f>
        <v>28847.551692999987</v>
      </c>
      <c r="U93" s="15"/>
      <c r="V93" s="30">
        <f>IF(T$12=0,0,T93/T$12)</f>
        <v>7.4469317051952214E-2</v>
      </c>
      <c r="W93" s="16"/>
      <c r="X93" s="34">
        <f>+P93-T93</f>
        <v>-25993.601692999964</v>
      </c>
      <c r="Y93" s="16"/>
      <c r="Z93" s="30">
        <f>IF(T93=0,0,X93/T93)</f>
        <v>-0.90106786078859691</v>
      </c>
    </row>
    <row r="94" spans="1:26" ht="15" customHeight="1" x14ac:dyDescent="0.3">
      <c r="A94" s="10"/>
      <c r="C94" s="10"/>
      <c r="D94" s="19"/>
      <c r="E94" s="19"/>
      <c r="G94" s="19"/>
      <c r="H94" s="19"/>
      <c r="I94" s="19"/>
      <c r="J94" s="41"/>
      <c r="K94" s="19"/>
      <c r="L94" s="19"/>
      <c r="M94" s="19"/>
      <c r="P94" s="19"/>
      <c r="Q94" s="19"/>
      <c r="R94" s="41"/>
      <c r="S94" s="19"/>
      <c r="T94" s="19"/>
      <c r="U94" s="19"/>
      <c r="V94" s="41"/>
      <c r="W94" s="19"/>
      <c r="X94" s="19"/>
    </row>
    <row r="95" spans="1:26" ht="15" customHeight="1" x14ac:dyDescent="0.3">
      <c r="A95" s="10"/>
      <c r="B95" s="57">
        <v>44634.883430555557</v>
      </c>
      <c r="D95" s="19"/>
      <c r="E95" s="19"/>
      <c r="G95" s="19"/>
      <c r="H95" s="19"/>
      <c r="I95" s="19"/>
      <c r="J95" s="41"/>
      <c r="K95" s="19"/>
      <c r="L95" s="19"/>
      <c r="M95" s="19"/>
      <c r="P95" s="19"/>
      <c r="Q95" s="19"/>
      <c r="R95" s="41"/>
      <c r="S95" s="19"/>
      <c r="T95" s="19"/>
      <c r="U95" s="19"/>
      <c r="V95" s="41"/>
      <c r="W95" s="19"/>
      <c r="X95" s="19"/>
    </row>
    <row r="96" spans="1:26" ht="15" customHeight="1" x14ac:dyDescent="0.3">
      <c r="A96" s="10"/>
      <c r="B96" s="56" t="s">
        <v>298</v>
      </c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1:24" ht="15" customHeight="1" x14ac:dyDescent="0.3">
      <c r="A97" s="10"/>
      <c r="B97" s="54"/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DFAB5-1B51-C744-2AB7-E1162790DF5E}">
  <sheetPr>
    <tabColor rgb="FFFFFF00"/>
    <outlinePr summaryBelow="0" summaryRight="0"/>
  </sheetPr>
  <dimension ref="A2:Z13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307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532190.98</v>
      </c>
      <c r="E12" s="5"/>
      <c r="F12" s="13"/>
      <c r="G12" s="5"/>
      <c r="H12" s="5">
        <f>SUM(OSRRefH13x_0)</f>
        <v>240108</v>
      </c>
      <c r="I12" s="5"/>
      <c r="J12" s="13"/>
      <c r="K12" s="5"/>
      <c r="L12" s="5">
        <f t="shared" ref="L12:L17" si="0">+D12-H12</f>
        <v>292082.98</v>
      </c>
      <c r="M12" s="5"/>
      <c r="N12" s="13">
        <f t="shared" ref="N12:N17" si="1">IF(H12=0,0,L12/H12)</f>
        <v>1.2164650074133305</v>
      </c>
      <c r="O12" s="11"/>
      <c r="P12" s="5">
        <f>SUM(OSRRefP13x_0)</f>
        <v>2776740.3899999997</v>
      </c>
      <c r="Q12" s="5"/>
      <c r="R12" s="13"/>
      <c r="S12" s="5"/>
      <c r="T12" s="5">
        <f>SUM(OSRRefT13x_0)</f>
        <v>2186136</v>
      </c>
      <c r="U12" s="5"/>
      <c r="V12" s="13"/>
      <c r="W12" s="5"/>
      <c r="X12" s="5">
        <f t="shared" ref="X12:X17" si="2">+P12-T12</f>
        <v>590604.38999999966</v>
      </c>
      <c r="Y12" s="5"/>
      <c r="Z12" s="13">
        <f t="shared" ref="Z12:Z17" si="3">IF(T12=0,0,X12/T12)</f>
        <v>0.27015903402167096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--481902.97</f>
        <v>481902.97</v>
      </c>
      <c r="E13" s="3"/>
      <c r="F13" s="20"/>
      <c r="G13" s="3"/>
      <c r="H13" s="3">
        <v>240108</v>
      </c>
      <c r="I13" s="3"/>
      <c r="J13" s="20"/>
      <c r="K13" s="3"/>
      <c r="L13" s="3">
        <f t="shared" si="0"/>
        <v>241794.96999999997</v>
      </c>
      <c r="M13" s="3"/>
      <c r="N13" s="20">
        <f t="shared" si="1"/>
        <v>1.0070258800206573</v>
      </c>
      <c r="O13" s="12"/>
      <c r="P13" s="3">
        <f>--2612781.26</f>
        <v>2612781.2599999998</v>
      </c>
      <c r="Q13" s="3"/>
      <c r="R13" s="20"/>
      <c r="S13" s="3"/>
      <c r="T13" s="3">
        <v>2186136</v>
      </c>
      <c r="U13" s="3"/>
      <c r="V13" s="20"/>
      <c r="W13" s="3"/>
      <c r="X13" s="3">
        <f t="shared" si="2"/>
        <v>426645.25999999978</v>
      </c>
      <c r="Y13" s="3"/>
      <c r="Z13" s="20">
        <f t="shared" si="3"/>
        <v>0.19515952346971999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--71960.99</f>
        <v>71960.990000000005</v>
      </c>
      <c r="E14" s="3"/>
      <c r="F14" s="20"/>
      <c r="G14" s="3"/>
      <c r="H14" s="3"/>
      <c r="I14" s="3"/>
      <c r="J14" s="20"/>
      <c r="K14" s="3"/>
      <c r="L14" s="3">
        <f t="shared" si="0"/>
        <v>71960.990000000005</v>
      </c>
      <c r="M14" s="3"/>
      <c r="N14" s="20">
        <f t="shared" si="1"/>
        <v>0</v>
      </c>
      <c r="O14" s="12"/>
      <c r="P14" s="3">
        <f>--317640.3</f>
        <v>317640.3</v>
      </c>
      <c r="Q14" s="3"/>
      <c r="R14" s="20"/>
      <c r="S14" s="3"/>
      <c r="T14" s="3"/>
      <c r="U14" s="3"/>
      <c r="V14" s="20"/>
      <c r="W14" s="3"/>
      <c r="X14" s="3">
        <f t="shared" si="2"/>
        <v>317640.3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-13626.34</f>
        <v>-13626.34</v>
      </c>
      <c r="E15" s="3"/>
      <c r="F15" s="20"/>
      <c r="G15" s="3"/>
      <c r="H15" s="3"/>
      <c r="I15" s="3"/>
      <c r="J15" s="20"/>
      <c r="K15" s="3"/>
      <c r="L15" s="3">
        <f t="shared" si="0"/>
        <v>-13626.34</v>
      </c>
      <c r="M15" s="3"/>
      <c r="N15" s="20">
        <f t="shared" si="1"/>
        <v>0</v>
      </c>
      <c r="O15" s="12"/>
      <c r="P15" s="3">
        <f>-78320.66</f>
        <v>-78320.66</v>
      </c>
      <c r="Q15" s="3"/>
      <c r="R15" s="20"/>
      <c r="S15" s="3"/>
      <c r="T15" s="3"/>
      <c r="U15" s="3"/>
      <c r="V15" s="20"/>
      <c r="W15" s="3"/>
      <c r="X15" s="3">
        <f t="shared" si="2"/>
        <v>-78320.66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-245.74</f>
        <v>-245.74</v>
      </c>
      <c r="E16" s="3"/>
      <c r="F16" s="20"/>
      <c r="G16" s="3"/>
      <c r="H16" s="3"/>
      <c r="I16" s="3"/>
      <c r="J16" s="20"/>
      <c r="K16" s="3"/>
      <c r="L16" s="3">
        <f t="shared" si="0"/>
        <v>-245.74</v>
      </c>
      <c r="M16" s="3"/>
      <c r="N16" s="20">
        <f t="shared" si="1"/>
        <v>0</v>
      </c>
      <c r="O16" s="12"/>
      <c r="P16" s="3">
        <f>-1898.53</f>
        <v>-1898.53</v>
      </c>
      <c r="Q16" s="3"/>
      <c r="R16" s="20"/>
      <c r="S16" s="3"/>
      <c r="T16" s="3"/>
      <c r="U16" s="3"/>
      <c r="V16" s="20"/>
      <c r="W16" s="3"/>
      <c r="X16" s="3">
        <f t="shared" si="2"/>
        <v>-1898.53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-7800.9</f>
        <v>-7800.9</v>
      </c>
      <c r="E17" s="3"/>
      <c r="F17" s="20"/>
      <c r="G17" s="3"/>
      <c r="H17" s="3"/>
      <c r="I17" s="3"/>
      <c r="J17" s="20"/>
      <c r="K17" s="3"/>
      <c r="L17" s="3">
        <f t="shared" si="0"/>
        <v>-7800.9</v>
      </c>
      <c r="M17" s="3"/>
      <c r="N17" s="20">
        <f t="shared" si="1"/>
        <v>0</v>
      </c>
      <c r="O17" s="12"/>
      <c r="P17" s="3">
        <f>-73461.98</f>
        <v>-73461.98</v>
      </c>
      <c r="Q17" s="3"/>
      <c r="R17" s="20"/>
      <c r="S17" s="3"/>
      <c r="T17" s="3"/>
      <c r="U17" s="3"/>
      <c r="V17" s="20"/>
      <c r="W17" s="3"/>
      <c r="X17" s="3">
        <f t="shared" si="2"/>
        <v>-73461.98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240681.03</v>
      </c>
      <c r="E19" s="5"/>
      <c r="F19" s="13">
        <f t="shared" ref="F19:F38" si="4">IF(D$12=0,0,D19/D$12)</f>
        <v>0.45224560175747436</v>
      </c>
      <c r="G19" s="5"/>
      <c r="H19" s="5">
        <f>SUM(OSRRefH16x_0)</f>
        <v>119972</v>
      </c>
      <c r="I19" s="5"/>
      <c r="J19" s="13">
        <f t="shared" ref="J19:J38" si="5">IF(H$12=0,0,H19/H$12)</f>
        <v>0.49965848701417698</v>
      </c>
      <c r="K19" s="5"/>
      <c r="L19" s="5">
        <f t="shared" ref="L19:L38" si="6">+D19-H19</f>
        <v>120709.03</v>
      </c>
      <c r="M19" s="5"/>
      <c r="N19" s="13">
        <f t="shared" ref="N19:N38" si="7">IF(H19=0,0,L19/H19)</f>
        <v>1.0061433501150268</v>
      </c>
      <c r="O19" s="11"/>
      <c r="P19" s="5">
        <f>SUM(OSRRefP16x_0)</f>
        <v>1340569.04</v>
      </c>
      <c r="Q19" s="5"/>
      <c r="R19" s="13">
        <f t="shared" ref="R19:R38" si="8">IF(P$12=0,0,P19/P$12)</f>
        <v>0.48278515515092868</v>
      </c>
      <c r="S19" s="5"/>
      <c r="T19" s="5">
        <f>SUM(OSRRefT16x_0)</f>
        <v>1119201</v>
      </c>
      <c r="U19" s="5"/>
      <c r="V19" s="13">
        <f t="shared" ref="V19:V38" si="9">IF(T$12=0,0,T19/T$12)</f>
        <v>0.51195396809713578</v>
      </c>
      <c r="W19" s="5"/>
      <c r="X19" s="5">
        <f t="shared" ref="X19:X38" si="10">+P19-T19</f>
        <v>221368.04000000004</v>
      </c>
      <c r="Y19" s="5"/>
      <c r="Z19" s="13">
        <f t="shared" ref="Z19:Z38" si="11">IF(T19=0,0,X19/T19)</f>
        <v>0.19779113849969759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205846.32</v>
      </c>
      <c r="E20" s="3"/>
      <c r="F20" s="20">
        <f t="shared" si="4"/>
        <v>0.38679032102347921</v>
      </c>
      <c r="G20" s="3"/>
      <c r="H20" s="3">
        <v>119972</v>
      </c>
      <c r="I20" s="3"/>
      <c r="J20" s="20">
        <f t="shared" si="5"/>
        <v>0.49965848701417698</v>
      </c>
      <c r="K20" s="3"/>
      <c r="L20" s="3">
        <f t="shared" si="6"/>
        <v>85874.32</v>
      </c>
      <c r="M20" s="3"/>
      <c r="N20" s="20">
        <f t="shared" si="7"/>
        <v>0.715786350148368</v>
      </c>
      <c r="O20" s="12"/>
      <c r="P20" s="3">
        <v>1421754.49</v>
      </c>
      <c r="Q20" s="3"/>
      <c r="R20" s="20">
        <f t="shared" si="8"/>
        <v>0.51202283624361444</v>
      </c>
      <c r="S20" s="3"/>
      <c r="T20" s="3">
        <v>1119201</v>
      </c>
      <c r="U20" s="3"/>
      <c r="V20" s="20">
        <f t="shared" si="9"/>
        <v>0.51195396809713578</v>
      </c>
      <c r="W20" s="3"/>
      <c r="X20" s="3">
        <f t="shared" si="10"/>
        <v>302553.49</v>
      </c>
      <c r="Y20" s="3"/>
      <c r="Z20" s="20">
        <f t="shared" si="11"/>
        <v>0.27032989605977836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","5200"," - ","PURCHASES OFFSET")</f>
        <v xml:space="preserve">          5200 - PURCHASES OFFSET</v>
      </c>
      <c r="C30" s="12"/>
      <c r="D30" s="3">
        <v>-215663.88</v>
      </c>
      <c r="E30" s="3"/>
      <c r="F30" s="20">
        <f t="shared" si="4"/>
        <v>-0.40523775882109092</v>
      </c>
      <c r="G30" s="3"/>
      <c r="H30" s="3"/>
      <c r="I30" s="3"/>
      <c r="J30" s="20">
        <f t="shared" si="5"/>
        <v>0</v>
      </c>
      <c r="K30" s="3"/>
      <c r="L30" s="3">
        <f t="shared" si="6"/>
        <v>-215663.88</v>
      </c>
      <c r="M30" s="3"/>
      <c r="N30" s="20">
        <f t="shared" si="7"/>
        <v>0</v>
      </c>
      <c r="O30" s="12"/>
      <c r="P30" s="3">
        <v>-1473953.3</v>
      </c>
      <c r="Q30" s="3"/>
      <c r="R30" s="20">
        <f t="shared" si="8"/>
        <v>-0.53082142835830626</v>
      </c>
      <c r="S30" s="3"/>
      <c r="T30" s="3"/>
      <c r="U30" s="3"/>
      <c r="V30" s="20">
        <f t="shared" si="9"/>
        <v>0</v>
      </c>
      <c r="W30" s="3"/>
      <c r="X30" s="3">
        <f t="shared" si="10"/>
        <v>-1473953.3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","5300"," - ","COG$ OFFSET")</f>
        <v xml:space="preserve">          5300 - COG$ OFFSET</v>
      </c>
      <c r="C31" s="12"/>
      <c r="D31" s="3">
        <v>240681.03</v>
      </c>
      <c r="E31" s="3"/>
      <c r="F31" s="20">
        <f t="shared" si="4"/>
        <v>0.45224560175747436</v>
      </c>
      <c r="G31" s="3"/>
      <c r="H31" s="3"/>
      <c r="I31" s="3"/>
      <c r="J31" s="20">
        <f t="shared" si="5"/>
        <v>0</v>
      </c>
      <c r="K31" s="3"/>
      <c r="L31" s="3">
        <f t="shared" si="6"/>
        <v>240681.03</v>
      </c>
      <c r="M31" s="3"/>
      <c r="N31" s="20">
        <f t="shared" si="7"/>
        <v>0</v>
      </c>
      <c r="O31" s="12"/>
      <c r="P31" s="3">
        <v>1340569.04</v>
      </c>
      <c r="Q31" s="3"/>
      <c r="R31" s="20">
        <f t="shared" si="8"/>
        <v>0.48278515515092868</v>
      </c>
      <c r="S31" s="3"/>
      <c r="T31" s="3"/>
      <c r="U31" s="3"/>
      <c r="V31" s="20">
        <f t="shared" si="9"/>
        <v>0</v>
      </c>
      <c r="W31" s="3"/>
      <c r="X31" s="3">
        <f t="shared" si="10"/>
        <v>1340569.04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","5500"," - ","FREIGHT-IN")</f>
        <v xml:space="preserve">          5500 - FREIGHT-IN</v>
      </c>
      <c r="C32" s="12"/>
      <c r="D32" s="3">
        <v>9817.56</v>
      </c>
      <c r="E32" s="3"/>
      <c r="F32" s="20">
        <f t="shared" si="4"/>
        <v>1.8447437797611675E-2</v>
      </c>
      <c r="G32" s="3"/>
      <c r="H32" s="3"/>
      <c r="I32" s="3"/>
      <c r="J32" s="20">
        <f t="shared" si="5"/>
        <v>0</v>
      </c>
      <c r="K32" s="3"/>
      <c r="L32" s="3">
        <f t="shared" si="6"/>
        <v>9817.56</v>
      </c>
      <c r="M32" s="3"/>
      <c r="N32" s="20">
        <f t="shared" si="7"/>
        <v>0</v>
      </c>
      <c r="O32" s="12"/>
      <c r="P32" s="3">
        <v>52198.81</v>
      </c>
      <c r="Q32" s="3"/>
      <c r="R32" s="20">
        <f t="shared" si="8"/>
        <v>1.8798592114691717E-2</v>
      </c>
      <c r="S32" s="3"/>
      <c r="T32" s="3"/>
      <c r="U32" s="3"/>
      <c r="V32" s="20">
        <f t="shared" si="9"/>
        <v>0</v>
      </c>
      <c r="W32" s="3"/>
      <c r="X32" s="3">
        <f t="shared" si="10"/>
        <v>52198.81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8" t="s">
        <v>289</v>
      </c>
      <c r="C40" s="28"/>
      <c r="D40" s="21">
        <f>D12-D19</f>
        <v>291509.94999999995</v>
      </c>
      <c r="E40" s="15"/>
      <c r="F40" s="22">
        <f>IF(D$12=0,0,D40/D$12)</f>
        <v>0.54775439824252559</v>
      </c>
      <c r="G40" s="15"/>
      <c r="H40" s="21">
        <f>H12-H19</f>
        <v>120136</v>
      </c>
      <c r="I40" s="15"/>
      <c r="J40" s="22">
        <f>IF(H$12=0,0,H40/H$12)</f>
        <v>0.50034151298582308</v>
      </c>
      <c r="K40" s="16"/>
      <c r="L40" s="21">
        <f>+D40-H40</f>
        <v>171373.94999999995</v>
      </c>
      <c r="M40" s="16"/>
      <c r="N40" s="22">
        <f>IF(H40=0,0,L40/H40)</f>
        <v>1.4264995505094222</v>
      </c>
      <c r="O40" s="27"/>
      <c r="P40" s="21">
        <f>P12-P19</f>
        <v>1436171.3499999996</v>
      </c>
      <c r="Q40" s="15"/>
      <c r="R40" s="22">
        <f>IF(P$12=0,0,P40/P$12)</f>
        <v>0.51721484484907132</v>
      </c>
      <c r="S40" s="15"/>
      <c r="T40" s="21">
        <f>T12-T19</f>
        <v>1066935</v>
      </c>
      <c r="U40" s="15"/>
      <c r="V40" s="22">
        <f>IF(T$12=0,0,T40/T$12)</f>
        <v>0.48804603190286422</v>
      </c>
      <c r="W40" s="16"/>
      <c r="X40" s="21">
        <f>+P40-T40</f>
        <v>369236.34999999963</v>
      </c>
      <c r="Y40" s="16"/>
      <c r="Z40" s="22">
        <f>IF(T40=0,0,X40/T40)</f>
        <v>0.34607201938262372</v>
      </c>
    </row>
    <row r="41" spans="1:26" ht="15" customHeight="1" x14ac:dyDescent="0.3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3">
      <c r="A42" s="11"/>
      <c r="B42" s="27" t="s">
        <v>290</v>
      </c>
      <c r="C42" s="11"/>
      <c r="D42" s="23" cm="1">
        <f t="array" ref="D42">SUM(OSRRefD22x_0)</f>
        <v>110247.18000000001</v>
      </c>
      <c r="E42" s="23"/>
      <c r="F42" s="29">
        <f t="shared" ref="F42:F73" si="12">IF(D$12=0,0,D42/D$12)</f>
        <v>0.20715717504268866</v>
      </c>
      <c r="G42" s="23"/>
      <c r="H42" s="23" cm="1">
        <f t="array" ref="H42">SUM(OSRRefH22x_0)</f>
        <v>101846.10274189233</v>
      </c>
      <c r="I42" s="23"/>
      <c r="J42" s="29">
        <f t="shared" ref="J42:J73" si="13">IF(H$12=0,0,H42/H$12)</f>
        <v>0.4241678858759072</v>
      </c>
      <c r="K42" s="5"/>
      <c r="L42" s="23">
        <f t="shared" ref="L42:L73" si="14">+D42-H42</f>
        <v>8401.0772581076744</v>
      </c>
      <c r="M42" s="5"/>
      <c r="N42" s="29">
        <f t="shared" ref="N42:N73" si="15">IF(H42=0,0,L42/H42)</f>
        <v>8.2487960088158202E-2</v>
      </c>
      <c r="O42" s="11"/>
      <c r="P42" s="23" cm="1">
        <f t="array" ref="P42">SUM(OSRRefP22x_0)</f>
        <v>794116.15</v>
      </c>
      <c r="Q42" s="23"/>
      <c r="R42" s="29">
        <f t="shared" ref="R42:R73" si="16">IF(P$12=0,0,P42/P$12)</f>
        <v>0.28598861919532931</v>
      </c>
      <c r="S42" s="23"/>
      <c r="T42" s="23" cm="1">
        <f t="array" ref="T42">SUM(OSRRefT22x_0)</f>
        <v>865441.96490175766</v>
      </c>
      <c r="U42" s="23"/>
      <c r="V42" s="29">
        <f t="shared" ref="V42:V73" si="17">IF(T$12=0,0,T42/T$12)</f>
        <v>0.39587745908843625</v>
      </c>
      <c r="W42" s="5"/>
      <c r="X42" s="23">
        <f t="shared" ref="X42:X73" si="18">+P42-T42</f>
        <v>-71325.814901757636</v>
      </c>
      <c r="Y42" s="5"/>
      <c r="Z42" s="29">
        <f t="shared" ref="Z42:Z73" si="19">IF(T42=0,0,X42/T42)</f>
        <v>-8.2415479944809841E-2</v>
      </c>
    </row>
    <row r="43" spans="1:26" s="69" customFormat="1" ht="15" customHeight="1" outlineLevel="1" collapsed="1" x14ac:dyDescent="0.3">
      <c r="A43" s="25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14980.61</v>
      </c>
      <c r="E43" s="2"/>
      <c r="F43" s="6">
        <f t="shared" si="12"/>
        <v>2.814893630854097E-2</v>
      </c>
      <c r="G43" s="2"/>
      <c r="H43" s="2">
        <f>SUM(OSRRefH22_0x_0)</f>
        <v>20295.277049584627</v>
      </c>
      <c r="I43" s="2"/>
      <c r="J43" s="6">
        <f t="shared" si="13"/>
        <v>8.4525617845238918E-2</v>
      </c>
      <c r="K43" s="2"/>
      <c r="L43" s="2">
        <f t="shared" si="14"/>
        <v>-5314.6670495846265</v>
      </c>
      <c r="M43" s="2"/>
      <c r="N43" s="6">
        <f t="shared" si="15"/>
        <v>-0.26186718400542353</v>
      </c>
      <c r="O43" s="14"/>
      <c r="P43" s="2">
        <f>SUM(OSRRefP22_0x_0)</f>
        <v>119924.72</v>
      </c>
      <c r="Q43" s="2"/>
      <c r="R43" s="6">
        <f t="shared" si="16"/>
        <v>4.3189028557329416E-2</v>
      </c>
      <c r="S43" s="2"/>
      <c r="T43" s="2">
        <f>SUM(OSRRefT22_0x_0)</f>
        <v>166580.65709406562</v>
      </c>
      <c r="U43" s="2"/>
      <c r="V43" s="6">
        <f t="shared" si="17"/>
        <v>7.6198670665532986E-2</v>
      </c>
      <c r="W43" s="2"/>
      <c r="X43" s="2">
        <f t="shared" si="18"/>
        <v>-46655.937094065623</v>
      </c>
      <c r="Y43" s="2"/>
      <c r="Z43" s="6">
        <f t="shared" si="19"/>
        <v>-0.28008016001353453</v>
      </c>
    </row>
    <row r="44" spans="1:26" s="70" customFormat="1" ht="15" hidden="1" customHeight="1" outlineLevel="2" x14ac:dyDescent="0.3">
      <c r="A44" s="26"/>
      <c r="B44" s="12" t="str">
        <f>CONCATENATE("          ","6111"," - ","F.I.C.A.")</f>
        <v xml:space="preserve">          6111 - F.I.C.A.</v>
      </c>
      <c r="C44" s="12"/>
      <c r="D44" s="8">
        <v>2229.33</v>
      </c>
      <c r="E44" s="3"/>
      <c r="F44" s="7">
        <f t="shared" si="12"/>
        <v>4.1889661489565265E-3</v>
      </c>
      <c r="G44" s="3"/>
      <c r="H44" s="8">
        <v>5028.8529399692297</v>
      </c>
      <c r="I44" s="3"/>
      <c r="J44" s="7">
        <f t="shared" si="13"/>
        <v>2.0944129058462151E-2</v>
      </c>
      <c r="K44" s="3"/>
      <c r="L44" s="8">
        <f t="shared" si="14"/>
        <v>-2799.5229399692298</v>
      </c>
      <c r="M44" s="3"/>
      <c r="N44" s="7">
        <f t="shared" si="15"/>
        <v>-0.55669214697424807</v>
      </c>
      <c r="O44" s="12"/>
      <c r="P44" s="8">
        <v>21793.360000000001</v>
      </c>
      <c r="Q44" s="3"/>
      <c r="R44" s="7">
        <f t="shared" si="16"/>
        <v>7.8485407128752148E-3</v>
      </c>
      <c r="S44" s="3"/>
      <c r="T44" s="8">
        <v>38454.006847430799</v>
      </c>
      <c r="U44" s="3"/>
      <c r="V44" s="7">
        <f t="shared" si="17"/>
        <v>1.758994264191743E-2</v>
      </c>
      <c r="W44" s="3"/>
      <c r="X44" s="8">
        <f t="shared" si="18"/>
        <v>-16660.646847430799</v>
      </c>
      <c r="Y44" s="3"/>
      <c r="Z44" s="7">
        <f t="shared" si="19"/>
        <v>-0.4332616601836366</v>
      </c>
    </row>
    <row r="45" spans="1:26" s="70" customFormat="1" ht="15" hidden="1" customHeight="1" outlineLevel="2" x14ac:dyDescent="0.3">
      <c r="A45" s="26"/>
      <c r="B45" s="12" t="str">
        <f>CONCATENATE("          ","6112"," - ","COMPENSATION INSURANCE")</f>
        <v xml:space="preserve">          6112 - COMPENSATION INSURANCE</v>
      </c>
      <c r="C45" s="12"/>
      <c r="D45" s="8">
        <v>1171.51</v>
      </c>
      <c r="E45" s="3"/>
      <c r="F45" s="7">
        <f t="shared" si="12"/>
        <v>2.2012962339196356E-3</v>
      </c>
      <c r="G45" s="3"/>
      <c r="H45" s="8">
        <v>1062.1958999999999</v>
      </c>
      <c r="I45" s="3"/>
      <c r="J45" s="7">
        <f t="shared" si="13"/>
        <v>4.4238255285121691E-3</v>
      </c>
      <c r="K45" s="3"/>
      <c r="L45" s="8">
        <f t="shared" si="14"/>
        <v>109.31410000000005</v>
      </c>
      <c r="M45" s="3"/>
      <c r="N45" s="7">
        <f t="shared" si="15"/>
        <v>0.10291331382469096</v>
      </c>
      <c r="O45" s="12"/>
      <c r="P45" s="8">
        <v>7504.08</v>
      </c>
      <c r="Q45" s="3"/>
      <c r="R45" s="7">
        <f t="shared" si="16"/>
        <v>2.7024780663776784E-3</v>
      </c>
      <c r="S45" s="3"/>
      <c r="T45" s="8">
        <v>9052.3887749999994</v>
      </c>
      <c r="U45" s="3"/>
      <c r="V45" s="7">
        <f t="shared" si="17"/>
        <v>4.1408168453380759E-3</v>
      </c>
      <c r="W45" s="3"/>
      <c r="X45" s="8">
        <f t="shared" si="18"/>
        <v>-1548.3087749999995</v>
      </c>
      <c r="Y45" s="3"/>
      <c r="Z45" s="7">
        <f t="shared" si="19"/>
        <v>-0.17103869635780194</v>
      </c>
    </row>
    <row r="46" spans="1:26" s="70" customFormat="1" ht="15" hidden="1" customHeight="1" outlineLevel="2" x14ac:dyDescent="0.3">
      <c r="A46" s="26"/>
      <c r="B46" s="12" t="str">
        <f>CONCATENATE("          ","6113"," - ","GROUP INSURANCE")</f>
        <v xml:space="preserve">          6113 - GROUP INSURANCE</v>
      </c>
      <c r="C46" s="12"/>
      <c r="D46" s="8">
        <v>4988.75</v>
      </c>
      <c r="E46" s="3"/>
      <c r="F46" s="7">
        <f t="shared" si="12"/>
        <v>9.3739845045851776E-3</v>
      </c>
      <c r="G46" s="3"/>
      <c r="H46" s="8">
        <v>7772.9230769230799</v>
      </c>
      <c r="I46" s="3"/>
      <c r="J46" s="7">
        <f t="shared" si="13"/>
        <v>3.2372611811864162E-2</v>
      </c>
      <c r="K46" s="3"/>
      <c r="L46" s="8">
        <f t="shared" si="14"/>
        <v>-2784.1730769230799</v>
      </c>
      <c r="M46" s="3"/>
      <c r="N46" s="7">
        <f t="shared" si="15"/>
        <v>-0.35818868260628639</v>
      </c>
      <c r="O46" s="12"/>
      <c r="P46" s="8">
        <v>38322.03</v>
      </c>
      <c r="Q46" s="3"/>
      <c r="R46" s="7">
        <f t="shared" si="16"/>
        <v>1.3801084947664122E-2</v>
      </c>
      <c r="S46" s="3"/>
      <c r="T46" s="8">
        <v>64011.076923077002</v>
      </c>
      <c r="U46" s="3"/>
      <c r="V46" s="7">
        <f t="shared" si="17"/>
        <v>2.9280464217723418E-2</v>
      </c>
      <c r="W46" s="3"/>
      <c r="X46" s="8">
        <f t="shared" si="18"/>
        <v>-25689.046923077003</v>
      </c>
      <c r="Y46" s="3"/>
      <c r="Z46" s="7">
        <f t="shared" si="19"/>
        <v>-0.40132189861370221</v>
      </c>
    </row>
    <row r="47" spans="1:26" s="70" customFormat="1" ht="15" hidden="1" customHeight="1" outlineLevel="2" x14ac:dyDescent="0.3">
      <c r="A47" s="26"/>
      <c r="B47" s="12" t="str">
        <f>CONCATENATE("          ","6114"," - ","STATE UNEMPLOYMENT INSURANCE")</f>
        <v xml:space="preserve">          6114 - STATE UNEMPLOYMENT INSURANCE</v>
      </c>
      <c r="C47" s="12"/>
      <c r="D47" s="8">
        <v>206.65</v>
      </c>
      <c r="E47" s="3"/>
      <c r="F47" s="7">
        <f t="shared" si="12"/>
        <v>3.8830045559960449E-4</v>
      </c>
      <c r="G47" s="3"/>
      <c r="H47" s="8">
        <v>142.98790961538501</v>
      </c>
      <c r="I47" s="3"/>
      <c r="J47" s="7">
        <f t="shared" si="13"/>
        <v>5.955149749920244E-4</v>
      </c>
      <c r="K47" s="3"/>
      <c r="L47" s="8">
        <f t="shared" si="14"/>
        <v>63.662090384614999</v>
      </c>
      <c r="M47" s="3"/>
      <c r="N47" s="7">
        <f t="shared" si="15"/>
        <v>0.4452270863729389</v>
      </c>
      <c r="O47" s="12"/>
      <c r="P47" s="8">
        <v>1319.23</v>
      </c>
      <c r="Q47" s="3"/>
      <c r="R47" s="7">
        <f t="shared" si="16"/>
        <v>4.7510023074213292E-4</v>
      </c>
      <c r="S47" s="3"/>
      <c r="T47" s="8">
        <v>1218.5907966346199</v>
      </c>
      <c r="U47" s="3"/>
      <c r="V47" s="7">
        <f t="shared" si="17"/>
        <v>5.5741765225705072E-4</v>
      </c>
      <c r="W47" s="3"/>
      <c r="X47" s="8">
        <f t="shared" si="18"/>
        <v>100.63920336538013</v>
      </c>
      <c r="Y47" s="3"/>
      <c r="Z47" s="7">
        <f t="shared" si="19"/>
        <v>8.2586544755889543E-2</v>
      </c>
    </row>
    <row r="48" spans="1:26" s="70" customFormat="1" ht="15" hidden="1" customHeight="1" outlineLevel="2" x14ac:dyDescent="0.3">
      <c r="A48" s="26"/>
      <c r="B48" s="12" t="str">
        <f>CONCATENATE("          ","6115"," - ","P.E.R.S.")</f>
        <v xml:space="preserve">          6115 - P.E.R.S.</v>
      </c>
      <c r="C48" s="12"/>
      <c r="D48" s="8">
        <v>1403.98</v>
      </c>
      <c r="E48" s="3"/>
      <c r="F48" s="7">
        <f t="shared" si="12"/>
        <v>2.6381131074412422E-3</v>
      </c>
      <c r="G48" s="3"/>
      <c r="H48" s="8">
        <v>1413.3438461538501</v>
      </c>
      <c r="I48" s="3"/>
      <c r="J48" s="7">
        <f t="shared" si="13"/>
        <v>5.8862838645686527E-3</v>
      </c>
      <c r="K48" s="3"/>
      <c r="L48" s="8">
        <f t="shared" si="14"/>
        <v>-9.3638461538500906</v>
      </c>
      <c r="M48" s="3"/>
      <c r="N48" s="7">
        <f t="shared" si="15"/>
        <v>-6.6253135635266957E-3</v>
      </c>
      <c r="O48" s="12"/>
      <c r="P48" s="8">
        <v>13439.63</v>
      </c>
      <c r="Q48" s="3"/>
      <c r="R48" s="7">
        <f t="shared" si="16"/>
        <v>4.8400743722390267E-3</v>
      </c>
      <c r="S48" s="3"/>
      <c r="T48" s="8">
        <v>12366.7586538462</v>
      </c>
      <c r="U48" s="3"/>
      <c r="V48" s="7">
        <f t="shared" si="17"/>
        <v>5.6569027058912163E-3</v>
      </c>
      <c r="W48" s="3"/>
      <c r="X48" s="8">
        <f t="shared" si="18"/>
        <v>1072.8713461537991</v>
      </c>
      <c r="Y48" s="3"/>
      <c r="Z48" s="7">
        <f t="shared" si="19"/>
        <v>8.6754450069268893E-2</v>
      </c>
    </row>
    <row r="49" spans="1:26" s="70" customFormat="1" ht="15" hidden="1" customHeight="1" outlineLevel="2" x14ac:dyDescent="0.3">
      <c r="A49" s="26"/>
      <c r="B49" s="12" t="str">
        <f>CONCATENATE("          ","6116"," - ","EDUCATIONAL BENEFITS")</f>
        <v xml:space="preserve">          6116 - EDUCATIONAL BENEFITS</v>
      </c>
      <c r="C49" s="12"/>
      <c r="D49" s="8"/>
      <c r="E49" s="3"/>
      <c r="F49" s="7">
        <f t="shared" si="12"/>
        <v>0</v>
      </c>
      <c r="G49" s="3"/>
      <c r="H49" s="8">
        <v>0</v>
      </c>
      <c r="I49" s="3"/>
      <c r="J49" s="7">
        <f t="shared" si="13"/>
        <v>0</v>
      </c>
      <c r="K49" s="3"/>
      <c r="L49" s="8">
        <f t="shared" si="14"/>
        <v>0</v>
      </c>
      <c r="M49" s="3"/>
      <c r="N49" s="7">
        <f t="shared" si="15"/>
        <v>0</v>
      </c>
      <c r="O49" s="12"/>
      <c r="P49" s="8"/>
      <c r="Q49" s="3"/>
      <c r="R49" s="7">
        <f t="shared" si="16"/>
        <v>0</v>
      </c>
      <c r="S49" s="3"/>
      <c r="T49" s="8">
        <v>0</v>
      </c>
      <c r="U49" s="3"/>
      <c r="V49" s="7">
        <f t="shared" si="17"/>
        <v>0</v>
      </c>
      <c r="W49" s="3"/>
      <c r="X49" s="8">
        <f t="shared" si="18"/>
        <v>0</v>
      </c>
      <c r="Y49" s="3"/>
      <c r="Z49" s="7">
        <f t="shared" si="19"/>
        <v>0</v>
      </c>
    </row>
    <row r="50" spans="1:26" s="70" customFormat="1" ht="15" hidden="1" customHeight="1" outlineLevel="2" x14ac:dyDescent="0.3">
      <c r="A50" s="26"/>
      <c r="B50" s="12" t="str">
        <f>CONCATENATE("          ","6118"," - ","VACATION")</f>
        <v xml:space="preserve">          6118 - VACATION</v>
      </c>
      <c r="C50" s="12"/>
      <c r="D50" s="8">
        <v>2084.77</v>
      </c>
      <c r="E50" s="3"/>
      <c r="F50" s="7">
        <f t="shared" si="12"/>
        <v>3.9173343373839218E-3</v>
      </c>
      <c r="G50" s="3"/>
      <c r="H50" s="8">
        <v>1233.7115384615399</v>
      </c>
      <c r="I50" s="3"/>
      <c r="J50" s="7">
        <f t="shared" si="13"/>
        <v>5.1381525749310307E-3</v>
      </c>
      <c r="K50" s="3"/>
      <c r="L50" s="8">
        <f t="shared" si="14"/>
        <v>851.05846153846005</v>
      </c>
      <c r="M50" s="3"/>
      <c r="N50" s="7">
        <f t="shared" si="15"/>
        <v>0.6898358611444495</v>
      </c>
      <c r="O50" s="12"/>
      <c r="P50" s="8">
        <v>16590.060000000001</v>
      </c>
      <c r="Q50" s="3"/>
      <c r="R50" s="7">
        <f t="shared" si="16"/>
        <v>5.9746528914789918E-3</v>
      </c>
      <c r="S50" s="3"/>
      <c r="T50" s="8">
        <v>10794.975961538499</v>
      </c>
      <c r="U50" s="3"/>
      <c r="V50" s="7">
        <f t="shared" si="17"/>
        <v>4.9379251618099232E-3</v>
      </c>
      <c r="W50" s="3"/>
      <c r="X50" s="8">
        <f t="shared" si="18"/>
        <v>5795.0840384615021</v>
      </c>
      <c r="Y50" s="3"/>
      <c r="Z50" s="7">
        <f t="shared" si="19"/>
        <v>0.53683158342444215</v>
      </c>
    </row>
    <row r="51" spans="1:26" s="70" customFormat="1" ht="15" hidden="1" customHeight="1" outlineLevel="2" x14ac:dyDescent="0.3">
      <c r="A51" s="26"/>
      <c r="B51" s="12" t="str">
        <f>CONCATENATE("          ","6119"," - ","SICK LEAVE")</f>
        <v xml:space="preserve">          6119 - SICK LEAVE</v>
      </c>
      <c r="C51" s="12"/>
      <c r="D51" s="8">
        <v>1933.93</v>
      </c>
      <c r="E51" s="3"/>
      <c r="F51" s="7">
        <f t="shared" si="12"/>
        <v>3.6339022506544551E-3</v>
      </c>
      <c r="G51" s="3"/>
      <c r="H51" s="8">
        <v>2766.2618384615398</v>
      </c>
      <c r="I51" s="3"/>
      <c r="J51" s="7">
        <f t="shared" si="13"/>
        <v>1.1520906585626217E-2</v>
      </c>
      <c r="K51" s="3"/>
      <c r="L51" s="8">
        <f t="shared" si="14"/>
        <v>-832.33183846153975</v>
      </c>
      <c r="M51" s="3"/>
      <c r="N51" s="7">
        <f t="shared" si="15"/>
        <v>-0.30088685998157072</v>
      </c>
      <c r="O51" s="12"/>
      <c r="P51" s="8">
        <v>14600.36</v>
      </c>
      <c r="Q51" s="3"/>
      <c r="R51" s="7">
        <f t="shared" si="16"/>
        <v>5.2580932854151344E-3</v>
      </c>
      <c r="S51" s="3"/>
      <c r="T51" s="8">
        <v>23682.8591365385</v>
      </c>
      <c r="U51" s="3"/>
      <c r="V51" s="7">
        <f t="shared" si="17"/>
        <v>1.0833204858498511E-2</v>
      </c>
      <c r="W51" s="3"/>
      <c r="X51" s="8">
        <f t="shared" si="18"/>
        <v>-9082.4991365384994</v>
      </c>
      <c r="Y51" s="3"/>
      <c r="Z51" s="7">
        <f t="shared" si="19"/>
        <v>-0.38350517917516957</v>
      </c>
    </row>
    <row r="52" spans="1:26" s="70" customFormat="1" ht="15" hidden="1" customHeight="1" outlineLevel="2" x14ac:dyDescent="0.3">
      <c r="A52" s="26"/>
      <c r="B52" s="12" t="str">
        <f>CONCATENATE("          ","6156"," - ","EMPLOYEE MEALS")</f>
        <v xml:space="preserve">          6156 - EMPLOYEE MEALS</v>
      </c>
      <c r="C52" s="12"/>
      <c r="D52" s="8">
        <v>961.69</v>
      </c>
      <c r="E52" s="3"/>
      <c r="F52" s="7">
        <f t="shared" si="12"/>
        <v>1.8070392700004049E-3</v>
      </c>
      <c r="G52" s="3"/>
      <c r="H52" s="8">
        <v>875</v>
      </c>
      <c r="I52" s="3"/>
      <c r="J52" s="7">
        <f t="shared" si="13"/>
        <v>3.6441934462825062E-3</v>
      </c>
      <c r="K52" s="3"/>
      <c r="L52" s="8">
        <f t="shared" si="14"/>
        <v>86.690000000000055</v>
      </c>
      <c r="M52" s="3"/>
      <c r="N52" s="7">
        <f t="shared" si="15"/>
        <v>9.9074285714285781E-2</v>
      </c>
      <c r="O52" s="12"/>
      <c r="P52" s="8">
        <v>6355.97</v>
      </c>
      <c r="Q52" s="3"/>
      <c r="R52" s="7">
        <f t="shared" si="16"/>
        <v>2.2890040505371126E-3</v>
      </c>
      <c r="S52" s="3"/>
      <c r="T52" s="8">
        <v>7000</v>
      </c>
      <c r="U52" s="3"/>
      <c r="V52" s="7">
        <f t="shared" si="17"/>
        <v>3.2019965820973629E-3</v>
      </c>
      <c r="W52" s="3"/>
      <c r="X52" s="8">
        <f t="shared" si="18"/>
        <v>-644.02999999999975</v>
      </c>
      <c r="Y52" s="3"/>
      <c r="Z52" s="7">
        <f t="shared" si="19"/>
        <v>-9.2004285714285677E-2</v>
      </c>
    </row>
    <row r="53" spans="1:26" s="69" customFormat="1" ht="15" customHeight="1" outlineLevel="1" collapsed="1" x14ac:dyDescent="0.3">
      <c r="A53" s="25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77219.19</v>
      </c>
      <c r="E53" s="2"/>
      <c r="F53" s="6">
        <f t="shared" si="12"/>
        <v>0.14509676582643322</v>
      </c>
      <c r="G53" s="2"/>
      <c r="H53" s="2">
        <f>SUM(OSRRefH22_1x_0)</f>
        <v>65046.825692307699</v>
      </c>
      <c r="I53" s="2"/>
      <c r="J53" s="6">
        <f t="shared" si="13"/>
        <v>0.27090653244501517</v>
      </c>
      <c r="K53" s="2"/>
      <c r="L53" s="2">
        <f t="shared" si="14"/>
        <v>12172.364307692304</v>
      </c>
      <c r="M53" s="2"/>
      <c r="N53" s="6">
        <f t="shared" si="15"/>
        <v>0.18713233394772377</v>
      </c>
      <c r="O53" s="14"/>
      <c r="P53" s="2">
        <f>SUM(OSRRefP22_1x_0)</f>
        <v>514311.15</v>
      </c>
      <c r="Q53" s="2"/>
      <c r="R53" s="6">
        <f t="shared" si="16"/>
        <v>0.18522118663027048</v>
      </c>
      <c r="S53" s="2"/>
      <c r="T53" s="2">
        <f>SUM(OSRRefT22_1x_0)</f>
        <v>553800.30780769198</v>
      </c>
      <c r="U53" s="2"/>
      <c r="V53" s="6">
        <f t="shared" si="17"/>
        <v>0.25332381325209957</v>
      </c>
      <c r="W53" s="2"/>
      <c r="X53" s="2">
        <f t="shared" si="18"/>
        <v>-39489.157807691954</v>
      </c>
      <c r="Y53" s="2"/>
      <c r="Z53" s="6">
        <f t="shared" si="19"/>
        <v>-7.1305770782281008E-2</v>
      </c>
    </row>
    <row r="54" spans="1:26" s="70" customFormat="1" ht="15" hidden="1" customHeight="1" outlineLevel="2" x14ac:dyDescent="0.3">
      <c r="A54" s="26"/>
      <c r="B54" s="12" t="str">
        <f>CONCATENATE("          ","6001"," - ","ADMINISTRATIVE SALARIES")</f>
        <v xml:space="preserve">          6001 - ADMINISTRATIVE SALARIES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","6002"," - ","STAFF SALARIES")</f>
        <v xml:space="preserve">          6002 - STAFF SALARIES</v>
      </c>
      <c r="C55" s="12"/>
      <c r="D55" s="8">
        <v>13696.08</v>
      </c>
      <c r="E55" s="3"/>
      <c r="F55" s="7">
        <f t="shared" si="12"/>
        <v>2.573527270229195E-2</v>
      </c>
      <c r="G55" s="3"/>
      <c r="H55" s="8">
        <v>14790.807692307701</v>
      </c>
      <c r="I55" s="3"/>
      <c r="J55" s="7">
        <f t="shared" si="13"/>
        <v>6.1600645094322976E-2</v>
      </c>
      <c r="K55" s="3"/>
      <c r="L55" s="8">
        <f t="shared" si="14"/>
        <v>-1094.7276923077006</v>
      </c>
      <c r="M55" s="3"/>
      <c r="N55" s="7">
        <f t="shared" si="15"/>
        <v>-7.4014057587743431E-2</v>
      </c>
      <c r="O55" s="12"/>
      <c r="P55" s="8">
        <v>132318.47</v>
      </c>
      <c r="Q55" s="3"/>
      <c r="R55" s="7">
        <f t="shared" si="16"/>
        <v>4.765244546322172E-2</v>
      </c>
      <c r="S55" s="3"/>
      <c r="T55" s="8">
        <v>129419.56730769201</v>
      </c>
      <c r="U55" s="3"/>
      <c r="V55" s="7">
        <f t="shared" si="17"/>
        <v>5.9200144596535623E-2</v>
      </c>
      <c r="W55" s="3"/>
      <c r="X55" s="8">
        <f t="shared" si="18"/>
        <v>2898.9026923079946</v>
      </c>
      <c r="Y55" s="3"/>
      <c r="Z55" s="7">
        <f t="shared" si="19"/>
        <v>2.2399261198392983E-2</v>
      </c>
    </row>
    <row r="56" spans="1:26" s="70" customFormat="1" ht="15" hidden="1" customHeight="1" outlineLevel="2" x14ac:dyDescent="0.3">
      <c r="A56" s="26"/>
      <c r="B56" s="12" t="str">
        <f>CONCATENATE("          ","6003"," - ","STAFF HOURLY-9 MONTH")</f>
        <v xml:space="preserve">          6003 - STAFF HOURLY-9 MONTH</v>
      </c>
      <c r="C56" s="12"/>
      <c r="D56" s="8"/>
      <c r="E56" s="3"/>
      <c r="F56" s="7">
        <f t="shared" si="12"/>
        <v>0</v>
      </c>
      <c r="G56" s="3"/>
      <c r="H56" s="8">
        <v>0</v>
      </c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","6004"," - ","STAFF HOURLY")</f>
        <v xml:space="preserve">          6004 - STAFF HOURLY</v>
      </c>
      <c r="C57" s="12"/>
      <c r="D57" s="8">
        <v>13957.01</v>
      </c>
      <c r="E57" s="3"/>
      <c r="F57" s="7">
        <f t="shared" si="12"/>
        <v>2.6225566618960736E-2</v>
      </c>
      <c r="G57" s="3"/>
      <c r="H57" s="8">
        <v>18345.407999999999</v>
      </c>
      <c r="I57" s="3"/>
      <c r="J57" s="7">
        <f t="shared" si="13"/>
        <v>7.6404817831975613E-2</v>
      </c>
      <c r="K57" s="3"/>
      <c r="L57" s="8">
        <f t="shared" si="14"/>
        <v>-4388.3979999999992</v>
      </c>
      <c r="M57" s="3"/>
      <c r="N57" s="7">
        <f t="shared" si="15"/>
        <v>-0.23920961583410952</v>
      </c>
      <c r="O57" s="12"/>
      <c r="P57" s="8">
        <v>73768.539999999994</v>
      </c>
      <c r="Q57" s="3"/>
      <c r="R57" s="7">
        <f t="shared" si="16"/>
        <v>2.6566595950296961E-2</v>
      </c>
      <c r="S57" s="3"/>
      <c r="T57" s="8">
        <v>157820.36799999999</v>
      </c>
      <c r="U57" s="3"/>
      <c r="V57" s="7">
        <f t="shared" si="17"/>
        <v>7.2191468417335425E-2</v>
      </c>
      <c r="W57" s="3"/>
      <c r="X57" s="8">
        <f t="shared" si="18"/>
        <v>-84051.827999999994</v>
      </c>
      <c r="Y57" s="3"/>
      <c r="Z57" s="7">
        <f t="shared" si="19"/>
        <v>-0.53257909017168181</v>
      </c>
    </row>
    <row r="58" spans="1:26" s="70" customFormat="1" ht="15" hidden="1" customHeight="1" outlineLevel="2" x14ac:dyDescent="0.3">
      <c r="A58" s="26"/>
      <c r="B58" s="12" t="str">
        <f>CONCATENATE("          ","6005"," - ","TEMPORARY WAGES-HOURLY")</f>
        <v xml:space="preserve">          6005 - TEMPORARY WAGES-HOURLY</v>
      </c>
      <c r="C58" s="12"/>
      <c r="D58" s="8">
        <v>2583.6</v>
      </c>
      <c r="E58" s="3"/>
      <c r="F58" s="7">
        <f t="shared" si="12"/>
        <v>4.8546482317306464E-3</v>
      </c>
      <c r="G58" s="3"/>
      <c r="H58" s="8">
        <v>0</v>
      </c>
      <c r="I58" s="3"/>
      <c r="J58" s="7">
        <f t="shared" si="13"/>
        <v>0</v>
      </c>
      <c r="K58" s="3"/>
      <c r="L58" s="8">
        <f t="shared" si="14"/>
        <v>2583.6</v>
      </c>
      <c r="M58" s="3"/>
      <c r="N58" s="7">
        <f t="shared" si="15"/>
        <v>0</v>
      </c>
      <c r="O58" s="12"/>
      <c r="P58" s="8">
        <v>26997.93</v>
      </c>
      <c r="Q58" s="3"/>
      <c r="R58" s="7">
        <f t="shared" si="16"/>
        <v>9.7228859050809587E-3</v>
      </c>
      <c r="S58" s="3"/>
      <c r="T58" s="8">
        <v>0</v>
      </c>
      <c r="U58" s="3"/>
      <c r="V58" s="7">
        <f t="shared" si="17"/>
        <v>0</v>
      </c>
      <c r="W58" s="3"/>
      <c r="X58" s="8">
        <f t="shared" si="18"/>
        <v>26997.93</v>
      </c>
      <c r="Y58" s="3"/>
      <c r="Z58" s="7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","6006"," - ","TEMPORARY PART TIME")</f>
        <v xml:space="preserve">          6006 - TEMPORARY PART TIME</v>
      </c>
      <c r="C59" s="12"/>
      <c r="D59" s="8"/>
      <c r="E59" s="3"/>
      <c r="F59" s="7">
        <f t="shared" si="12"/>
        <v>0</v>
      </c>
      <c r="G59" s="3"/>
      <c r="H59" s="8">
        <v>0</v>
      </c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0</v>
      </c>
      <c r="U59" s="3"/>
      <c r="V59" s="7">
        <f t="shared" si="17"/>
        <v>0</v>
      </c>
      <c r="W59" s="3"/>
      <c r="X59" s="8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","6007"," - ","STUDENT HOURLY")</f>
        <v xml:space="preserve">          6007 - STUDENT HOURLY</v>
      </c>
      <c r="C60" s="12"/>
      <c r="D60" s="8">
        <v>35078.5</v>
      </c>
      <c r="E60" s="3"/>
      <c r="F60" s="7">
        <f t="shared" si="12"/>
        <v>6.5913368167194425E-2</v>
      </c>
      <c r="G60" s="3"/>
      <c r="H60" s="8">
        <v>29532</v>
      </c>
      <c r="I60" s="3"/>
      <c r="J60" s="7">
        <f t="shared" si="13"/>
        <v>0.12299465240641712</v>
      </c>
      <c r="K60" s="3"/>
      <c r="L60" s="8">
        <f t="shared" si="14"/>
        <v>5546.5</v>
      </c>
      <c r="M60" s="3"/>
      <c r="N60" s="7">
        <f t="shared" si="15"/>
        <v>0.18781321955844507</v>
      </c>
      <c r="O60" s="12"/>
      <c r="P60" s="8">
        <v>225435.32</v>
      </c>
      <c r="Q60" s="3"/>
      <c r="R60" s="7">
        <f t="shared" si="16"/>
        <v>8.1187035277720018E-2</v>
      </c>
      <c r="S60" s="3"/>
      <c r="T60" s="8">
        <v>188748.75</v>
      </c>
      <c r="U60" s="3"/>
      <c r="V60" s="7">
        <f t="shared" si="17"/>
        <v>8.633897891073565E-2</v>
      </c>
      <c r="W60" s="3"/>
      <c r="X60" s="8">
        <f t="shared" si="18"/>
        <v>36686.570000000007</v>
      </c>
      <c r="Y60" s="3"/>
      <c r="Z60" s="7">
        <f t="shared" si="19"/>
        <v>0.19436722097497339</v>
      </c>
    </row>
    <row r="61" spans="1:26" s="70" customFormat="1" ht="15" hidden="1" customHeight="1" outlineLevel="2" x14ac:dyDescent="0.3">
      <c r="A61" s="26"/>
      <c r="B61" s="12" t="str">
        <f>CONCATENATE("          ","6008"," - ","STUDENT HOURLY-FICA EXEMPT")</f>
        <v xml:space="preserve">          6008 - STUDENT HOURLY-FICA EXEMPT</v>
      </c>
      <c r="C61" s="12"/>
      <c r="D61" s="8">
        <v>11904</v>
      </c>
      <c r="E61" s="3"/>
      <c r="F61" s="7">
        <f t="shared" si="12"/>
        <v>2.2367910106255464E-2</v>
      </c>
      <c r="G61" s="3"/>
      <c r="H61" s="8">
        <v>2378.61</v>
      </c>
      <c r="I61" s="3"/>
      <c r="J61" s="7">
        <f t="shared" si="13"/>
        <v>9.9064171122994656E-3</v>
      </c>
      <c r="K61" s="3"/>
      <c r="L61" s="8">
        <f t="shared" si="14"/>
        <v>9525.39</v>
      </c>
      <c r="M61" s="3"/>
      <c r="N61" s="7">
        <f t="shared" si="15"/>
        <v>4.0046035289517823</v>
      </c>
      <c r="O61" s="12"/>
      <c r="P61" s="8">
        <v>55790.89</v>
      </c>
      <c r="Q61" s="3"/>
      <c r="R61" s="7">
        <f t="shared" si="16"/>
        <v>2.0092224033950831E-2</v>
      </c>
      <c r="S61" s="3"/>
      <c r="T61" s="8">
        <v>77811.622499999998</v>
      </c>
      <c r="U61" s="3"/>
      <c r="V61" s="7">
        <f t="shared" si="17"/>
        <v>3.5593221327492888E-2</v>
      </c>
      <c r="W61" s="3"/>
      <c r="X61" s="8">
        <f t="shared" si="18"/>
        <v>-22020.732499999998</v>
      </c>
      <c r="Y61" s="3"/>
      <c r="Z61" s="7">
        <f t="shared" si="19"/>
        <v>-0.28300055688981424</v>
      </c>
    </row>
    <row r="62" spans="1:26" s="70" customFormat="1" ht="15" hidden="1" customHeight="1" outlineLevel="2" x14ac:dyDescent="0.3">
      <c r="A62" s="26"/>
      <c r="B62" s="12" t="str">
        <f>CONCATENATE("          ","6009"," - ","TEMPORARY-SEASONAL")</f>
        <v xml:space="preserve">          6009 - TEMPORARY-SEASONAL</v>
      </c>
      <c r="C62" s="12"/>
      <c r="D62" s="8"/>
      <c r="E62" s="3"/>
      <c r="F62" s="7">
        <f t="shared" si="12"/>
        <v>0</v>
      </c>
      <c r="G62" s="3"/>
      <c r="H62" s="8">
        <v>0</v>
      </c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/>
      <c r="Q62" s="3"/>
      <c r="R62" s="7">
        <f t="shared" si="16"/>
        <v>0</v>
      </c>
      <c r="S62" s="3"/>
      <c r="T62" s="8">
        <v>0</v>
      </c>
      <c r="U62" s="3"/>
      <c r="V62" s="7">
        <f t="shared" si="17"/>
        <v>0</v>
      </c>
      <c r="W62" s="3"/>
      <c r="X62" s="8">
        <f t="shared" si="18"/>
        <v>0</v>
      </c>
      <c r="Y62" s="3"/>
      <c r="Z62" s="7">
        <f t="shared" si="19"/>
        <v>0</v>
      </c>
    </row>
    <row r="63" spans="1:26" s="70" customFormat="1" ht="15" hidden="1" customHeight="1" outlineLevel="2" x14ac:dyDescent="0.3">
      <c r="A63" s="26"/>
      <c r="B63" s="12" t="str">
        <f>CONCATENATE("          ","6010"," - ","GRATUITY")</f>
        <v xml:space="preserve">          6010 - GRATUITY</v>
      </c>
      <c r="C63" s="12"/>
      <c r="D63" s="8"/>
      <c r="E63" s="3"/>
      <c r="F63" s="7">
        <f t="shared" si="12"/>
        <v>0</v>
      </c>
      <c r="G63" s="3"/>
      <c r="H63" s="8">
        <v>0</v>
      </c>
      <c r="I63" s="3"/>
      <c r="J63" s="7">
        <f t="shared" si="13"/>
        <v>0</v>
      </c>
      <c r="K63" s="3"/>
      <c r="L63" s="8">
        <f t="shared" si="14"/>
        <v>0</v>
      </c>
      <c r="M63" s="3"/>
      <c r="N63" s="7">
        <f t="shared" si="15"/>
        <v>0</v>
      </c>
      <c r="O63" s="12"/>
      <c r="P63" s="8"/>
      <c r="Q63" s="3"/>
      <c r="R63" s="7">
        <f t="shared" si="16"/>
        <v>0</v>
      </c>
      <c r="S63" s="3"/>
      <c r="T63" s="8">
        <v>0</v>
      </c>
      <c r="U63" s="3"/>
      <c r="V63" s="7">
        <f t="shared" si="17"/>
        <v>0</v>
      </c>
      <c r="W63" s="3"/>
      <c r="X63" s="8">
        <f t="shared" si="18"/>
        <v>0</v>
      </c>
      <c r="Y63" s="3"/>
      <c r="Z63" s="7">
        <f t="shared" si="19"/>
        <v>0</v>
      </c>
    </row>
    <row r="64" spans="1:26" s="69" customFormat="1" ht="15" customHeight="1" outlineLevel="1" collapsed="1" x14ac:dyDescent="0.3">
      <c r="A64" s="25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316.10000000000002</v>
      </c>
      <c r="E64" s="2"/>
      <c r="F64" s="6">
        <f t="shared" si="12"/>
        <v>5.9395970972676013E-4</v>
      </c>
      <c r="G64" s="2"/>
      <c r="H64" s="2">
        <f>SUM(OSRRefH22_2x_0)</f>
        <v>100</v>
      </c>
      <c r="I64" s="2"/>
      <c r="J64" s="6">
        <f t="shared" si="13"/>
        <v>4.1647925100371497E-4</v>
      </c>
      <c r="K64" s="2"/>
      <c r="L64" s="2">
        <f t="shared" si="14"/>
        <v>216.10000000000002</v>
      </c>
      <c r="M64" s="2"/>
      <c r="N64" s="6">
        <f t="shared" si="15"/>
        <v>2.161</v>
      </c>
      <c r="O64" s="14"/>
      <c r="P64" s="2">
        <f>SUM(OSRRefP22_2x_0)</f>
        <v>4351.49</v>
      </c>
      <c r="Q64" s="2"/>
      <c r="R64" s="6">
        <f t="shared" si="16"/>
        <v>1.5671216566270354E-3</v>
      </c>
      <c r="S64" s="2"/>
      <c r="T64" s="2">
        <f>SUM(OSRRefT22_2x_0)</f>
        <v>2200</v>
      </c>
      <c r="U64" s="2"/>
      <c r="V64" s="6">
        <f t="shared" si="17"/>
        <v>1.0063417829448854E-3</v>
      </c>
      <c r="W64" s="2"/>
      <c r="X64" s="2">
        <f t="shared" si="18"/>
        <v>2151.4899999999998</v>
      </c>
      <c r="Y64" s="2"/>
      <c r="Z64" s="6">
        <f t="shared" si="19"/>
        <v>0.97794999999999987</v>
      </c>
    </row>
    <row r="65" spans="1:26" s="70" customFormat="1" ht="15" hidden="1" customHeight="1" outlineLevel="2" x14ac:dyDescent="0.3">
      <c r="A65" s="26"/>
      <c r="B65" s="12" t="str">
        <f>CONCATENATE("          ","6362"," - ","ADVERTISING EXPENSE")</f>
        <v xml:space="preserve">          6362 - ADVERTISING EXPENSE</v>
      </c>
      <c r="C65" s="12"/>
      <c r="D65" s="8">
        <v>316.10000000000002</v>
      </c>
      <c r="E65" s="3"/>
      <c r="F65" s="7">
        <f t="shared" si="12"/>
        <v>5.9395970972676013E-4</v>
      </c>
      <c r="G65" s="3"/>
      <c r="H65" s="8">
        <v>100</v>
      </c>
      <c r="I65" s="3"/>
      <c r="J65" s="7">
        <f t="shared" si="13"/>
        <v>4.1647925100371497E-4</v>
      </c>
      <c r="K65" s="3"/>
      <c r="L65" s="8">
        <f t="shared" si="14"/>
        <v>216.10000000000002</v>
      </c>
      <c r="M65" s="3"/>
      <c r="N65" s="7">
        <f t="shared" si="15"/>
        <v>2.161</v>
      </c>
      <c r="O65" s="12"/>
      <c r="P65" s="8">
        <v>4351.49</v>
      </c>
      <c r="Q65" s="3"/>
      <c r="R65" s="7">
        <f t="shared" si="16"/>
        <v>1.5671216566270354E-3</v>
      </c>
      <c r="S65" s="3"/>
      <c r="T65" s="8">
        <v>2200</v>
      </c>
      <c r="U65" s="3"/>
      <c r="V65" s="7">
        <f t="shared" si="17"/>
        <v>1.0063417829448854E-3</v>
      </c>
      <c r="W65" s="3"/>
      <c r="X65" s="8">
        <f t="shared" si="18"/>
        <v>2151.4899999999998</v>
      </c>
      <c r="Y65" s="3"/>
      <c r="Z65" s="7">
        <f t="shared" si="19"/>
        <v>0.97794999999999987</v>
      </c>
    </row>
    <row r="66" spans="1:26" s="69" customFormat="1" ht="15" customHeight="1" outlineLevel="1" collapsed="1" x14ac:dyDescent="0.3">
      <c r="A66" s="25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-20.02</v>
      </c>
      <c r="E66" s="2"/>
      <c r="F66" s="6">
        <f t="shared" si="12"/>
        <v>-3.7618074624263642E-5</v>
      </c>
      <c r="G66" s="2"/>
      <c r="H66" s="2">
        <f>SUM(OSRRefH22_3x_0)</f>
        <v>10</v>
      </c>
      <c r="I66" s="2"/>
      <c r="J66" s="6">
        <f t="shared" si="13"/>
        <v>4.16479251003715E-5</v>
      </c>
      <c r="K66" s="2"/>
      <c r="L66" s="2">
        <f t="shared" si="14"/>
        <v>-30.02</v>
      </c>
      <c r="M66" s="2"/>
      <c r="N66" s="6">
        <f t="shared" si="15"/>
        <v>-3.0019999999999998</v>
      </c>
      <c r="O66" s="14"/>
      <c r="P66" s="2">
        <f>SUM(OSRRefP22_3x_0)</f>
        <v>-33.4</v>
      </c>
      <c r="Q66" s="2"/>
      <c r="R66" s="6">
        <f t="shared" si="16"/>
        <v>-1.2028492155869134E-5</v>
      </c>
      <c r="S66" s="2"/>
      <c r="T66" s="2">
        <f>SUM(OSRRefT22_3x_0)</f>
        <v>80</v>
      </c>
      <c r="U66" s="2"/>
      <c r="V66" s="6">
        <f t="shared" si="17"/>
        <v>3.6594246652541289E-5</v>
      </c>
      <c r="W66" s="2"/>
      <c r="X66" s="2">
        <f t="shared" si="18"/>
        <v>-113.4</v>
      </c>
      <c r="Y66" s="2"/>
      <c r="Z66" s="6">
        <f t="shared" si="19"/>
        <v>-1.4175</v>
      </c>
    </row>
    <row r="67" spans="1:26" s="70" customFormat="1" ht="15" hidden="1" customHeight="1" outlineLevel="2" x14ac:dyDescent="0.3">
      <c r="A67" s="26"/>
      <c r="B67" s="12" t="str">
        <f>CONCATENATE("          ","6272"," - ","CASH (OVER/SHORT)")</f>
        <v xml:space="preserve">          6272 - CASH (OVER/SHORT)</v>
      </c>
      <c r="C67" s="12"/>
      <c r="D67" s="8">
        <v>-20.02</v>
      </c>
      <c r="E67" s="3"/>
      <c r="F67" s="7">
        <f t="shared" si="12"/>
        <v>-3.7618074624263642E-5</v>
      </c>
      <c r="G67" s="3"/>
      <c r="H67" s="8">
        <v>10</v>
      </c>
      <c r="I67" s="3"/>
      <c r="J67" s="7">
        <f t="shared" si="13"/>
        <v>4.16479251003715E-5</v>
      </c>
      <c r="K67" s="3"/>
      <c r="L67" s="8">
        <f t="shared" si="14"/>
        <v>-30.02</v>
      </c>
      <c r="M67" s="3"/>
      <c r="N67" s="7">
        <f t="shared" si="15"/>
        <v>-3.0019999999999998</v>
      </c>
      <c r="O67" s="12"/>
      <c r="P67" s="8">
        <v>-33.4</v>
      </c>
      <c r="Q67" s="3"/>
      <c r="R67" s="7">
        <f t="shared" si="16"/>
        <v>-1.2028492155869134E-5</v>
      </c>
      <c r="S67" s="3"/>
      <c r="T67" s="8">
        <v>80</v>
      </c>
      <c r="U67" s="3"/>
      <c r="V67" s="7">
        <f t="shared" si="17"/>
        <v>3.6594246652541289E-5</v>
      </c>
      <c r="W67" s="3"/>
      <c r="X67" s="8">
        <f t="shared" si="18"/>
        <v>-113.4</v>
      </c>
      <c r="Y67" s="3"/>
      <c r="Z67" s="7">
        <f t="shared" si="19"/>
        <v>-1.4175</v>
      </c>
    </row>
    <row r="68" spans="1:26" s="69" customFormat="1" ht="15" customHeight="1" outlineLevel="1" collapsed="1" x14ac:dyDescent="0.3">
      <c r="A68" s="25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452.13</v>
      </c>
      <c r="E68" s="2"/>
      <c r="F68" s="6">
        <f t="shared" si="12"/>
        <v>8.4956344055286319E-4</v>
      </c>
      <c r="G68" s="2"/>
      <c r="H68" s="2">
        <f>SUM(OSRRefH22_4x_0)</f>
        <v>457</v>
      </c>
      <c r="I68" s="2"/>
      <c r="J68" s="6">
        <f t="shared" si="13"/>
        <v>1.9033101770869775E-3</v>
      </c>
      <c r="K68" s="2"/>
      <c r="L68" s="2">
        <f t="shared" si="14"/>
        <v>-4.8700000000000045</v>
      </c>
      <c r="M68" s="2"/>
      <c r="N68" s="6">
        <f t="shared" si="15"/>
        <v>-1.0656455142231958E-2</v>
      </c>
      <c r="O68" s="14"/>
      <c r="P68" s="2">
        <f>SUM(OSRRefP22_4x_0)</f>
        <v>4266.21</v>
      </c>
      <c r="Q68" s="2"/>
      <c r="R68" s="6">
        <f t="shared" si="16"/>
        <v>1.5364093868350439E-3</v>
      </c>
      <c r="S68" s="2"/>
      <c r="T68" s="2">
        <f>SUM(OSRRefT22_4x_0)</f>
        <v>4094</v>
      </c>
      <c r="U68" s="2"/>
      <c r="V68" s="6">
        <f t="shared" si="17"/>
        <v>1.8727105724438003E-3</v>
      </c>
      <c r="W68" s="2"/>
      <c r="X68" s="2">
        <f t="shared" si="18"/>
        <v>172.21000000000004</v>
      </c>
      <c r="Y68" s="2"/>
      <c r="Z68" s="6">
        <f t="shared" si="19"/>
        <v>4.2063996091841728E-2</v>
      </c>
    </row>
    <row r="69" spans="1:26" s="70" customFormat="1" ht="15" hidden="1" customHeight="1" outlineLevel="2" x14ac:dyDescent="0.3">
      <c r="A69" s="26"/>
      <c r="B69" s="12" t="str">
        <f>CONCATENATE("          ","6381"," - ","BANK/CREDIT CARD FEES")</f>
        <v xml:space="preserve">          6381 - BANK/CREDIT CARD FEES</v>
      </c>
      <c r="C69" s="12"/>
      <c r="D69" s="8">
        <v>452.13</v>
      </c>
      <c r="E69" s="3"/>
      <c r="F69" s="7">
        <f t="shared" si="12"/>
        <v>8.4956344055286319E-4</v>
      </c>
      <c r="G69" s="3"/>
      <c r="H69" s="8">
        <v>457</v>
      </c>
      <c r="I69" s="3"/>
      <c r="J69" s="7">
        <f t="shared" si="13"/>
        <v>1.9033101770869775E-3</v>
      </c>
      <c r="K69" s="3"/>
      <c r="L69" s="8">
        <f t="shared" si="14"/>
        <v>-4.8700000000000045</v>
      </c>
      <c r="M69" s="3"/>
      <c r="N69" s="7">
        <f t="shared" si="15"/>
        <v>-1.0656455142231958E-2</v>
      </c>
      <c r="O69" s="12"/>
      <c r="P69" s="8">
        <v>4266.21</v>
      </c>
      <c r="Q69" s="3"/>
      <c r="R69" s="7">
        <f t="shared" si="16"/>
        <v>1.5364093868350439E-3</v>
      </c>
      <c r="S69" s="3"/>
      <c r="T69" s="8">
        <v>4094</v>
      </c>
      <c r="U69" s="3"/>
      <c r="V69" s="7">
        <f t="shared" si="17"/>
        <v>1.8727105724438003E-3</v>
      </c>
      <c r="W69" s="3"/>
      <c r="X69" s="8">
        <f t="shared" si="18"/>
        <v>172.21000000000004</v>
      </c>
      <c r="Y69" s="3"/>
      <c r="Z69" s="7">
        <f t="shared" si="19"/>
        <v>4.2063996091841728E-2</v>
      </c>
    </row>
    <row r="70" spans="1:26" s="69" customFormat="1" ht="15" customHeight="1" outlineLevel="1" collapsed="1" x14ac:dyDescent="0.3">
      <c r="A70" s="25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","9175"," - ","EARNED DISCOUNTS")</f>
        <v xml:space="preserve">          9175 - EARNED DISCOUNTS</v>
      </c>
      <c r="C71" s="12"/>
      <c r="D71" s="8"/>
      <c r="E71" s="3"/>
      <c r="F71" s="7">
        <f t="shared" si="12"/>
        <v>0</v>
      </c>
      <c r="G71" s="3"/>
      <c r="H71" s="8"/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0</v>
      </c>
      <c r="Q71" s="3"/>
      <c r="R71" s="7">
        <f t="shared" si="16"/>
        <v>0</v>
      </c>
      <c r="S71" s="3"/>
      <c r="T71" s="8"/>
      <c r="U71" s="3"/>
      <c r="V71" s="7">
        <f t="shared" si="17"/>
        <v>0</v>
      </c>
      <c r="W71" s="3"/>
      <c r="X71" s="8">
        <f t="shared" si="18"/>
        <v>0</v>
      </c>
      <c r="Y71" s="3"/>
      <c r="Z71" s="7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0</v>
      </c>
      <c r="E72" s="2"/>
      <c r="F72" s="6">
        <f t="shared" si="12"/>
        <v>0</v>
      </c>
      <c r="G72" s="2"/>
      <c r="H72" s="2">
        <f>SUM(OSRRefH22_6x_0)</f>
        <v>75</v>
      </c>
      <c r="I72" s="2"/>
      <c r="J72" s="6">
        <f t="shared" si="13"/>
        <v>3.1235943825278623E-4</v>
      </c>
      <c r="K72" s="2"/>
      <c r="L72" s="2">
        <f t="shared" si="14"/>
        <v>-75</v>
      </c>
      <c r="M72" s="2"/>
      <c r="N72" s="6">
        <f t="shared" si="15"/>
        <v>-1</v>
      </c>
      <c r="O72" s="14"/>
      <c r="P72" s="2">
        <f>SUM(OSRRefP22_6x_0)</f>
        <v>216.44</v>
      </c>
      <c r="Q72" s="2"/>
      <c r="R72" s="6">
        <f t="shared" si="16"/>
        <v>7.7947510245997476E-5</v>
      </c>
      <c r="S72" s="2"/>
      <c r="T72" s="2">
        <f>SUM(OSRRefT22_6x_0)</f>
        <v>600</v>
      </c>
      <c r="U72" s="2"/>
      <c r="V72" s="6">
        <f t="shared" si="17"/>
        <v>2.7445684989405966E-4</v>
      </c>
      <c r="W72" s="2"/>
      <c r="X72" s="2">
        <f t="shared" si="18"/>
        <v>-383.56</v>
      </c>
      <c r="Y72" s="2"/>
      <c r="Z72" s="6">
        <f t="shared" si="19"/>
        <v>-0.63926666666666665</v>
      </c>
    </row>
    <row r="73" spans="1:26" s="70" customFormat="1" ht="15" hidden="1" customHeight="1" outlineLevel="2" x14ac:dyDescent="0.3">
      <c r="A73" s="26"/>
      <c r="B73" s="12" t="str">
        <f>CONCATENATE("          ","6277"," - ","EMPLOYEE APPRECIATION")</f>
        <v xml:space="preserve">          6277 - EMPLOYEE APPRECIATION</v>
      </c>
      <c r="C73" s="12"/>
      <c r="D73" s="8"/>
      <c r="E73" s="3"/>
      <c r="F73" s="7">
        <f t="shared" si="12"/>
        <v>0</v>
      </c>
      <c r="G73" s="3"/>
      <c r="H73" s="8">
        <v>75</v>
      </c>
      <c r="I73" s="3"/>
      <c r="J73" s="7">
        <f t="shared" si="13"/>
        <v>3.1235943825278623E-4</v>
      </c>
      <c r="K73" s="3"/>
      <c r="L73" s="8">
        <f t="shared" si="14"/>
        <v>-75</v>
      </c>
      <c r="M73" s="3"/>
      <c r="N73" s="7">
        <f t="shared" si="15"/>
        <v>-1</v>
      </c>
      <c r="O73" s="12"/>
      <c r="P73" s="8">
        <v>216.44</v>
      </c>
      <c r="Q73" s="3"/>
      <c r="R73" s="7">
        <f t="shared" si="16"/>
        <v>7.7947510245997476E-5</v>
      </c>
      <c r="S73" s="3"/>
      <c r="T73" s="8">
        <v>600</v>
      </c>
      <c r="U73" s="3"/>
      <c r="V73" s="7">
        <f t="shared" si="17"/>
        <v>2.7445684989405966E-4</v>
      </c>
      <c r="W73" s="3"/>
      <c r="X73" s="8">
        <f t="shared" si="18"/>
        <v>-383.56</v>
      </c>
      <c r="Y73" s="3"/>
      <c r="Z73" s="7">
        <f t="shared" si="19"/>
        <v>-0.63926666666666665</v>
      </c>
    </row>
    <row r="74" spans="1:26" s="69" customFormat="1" ht="15" customHeight="1" outlineLevel="1" collapsed="1" x14ac:dyDescent="0.3">
      <c r="A74" s="25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4.2823592881868227E-5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3">
      <c r="A75" s="26"/>
      <c r="B75" s="12" t="str">
        <f>CONCATENATE("          ","6351"," - ","EQUIPMENT RENTAL")</f>
        <v xml:space="preserve">          6351 - EQUIPMENT RENTAL</v>
      </c>
      <c r="C75" s="12"/>
      <c r="D75" s="8"/>
      <c r="E75" s="3"/>
      <c r="F75" s="7">
        <f t="shared" si="20"/>
        <v>0</v>
      </c>
      <c r="G75" s="3"/>
      <c r="H75" s="8"/>
      <c r="I75" s="3"/>
      <c r="J75" s="7">
        <f t="shared" si="21"/>
        <v>0</v>
      </c>
      <c r="K75" s="3"/>
      <c r="L75" s="8">
        <f t="shared" si="22"/>
        <v>0</v>
      </c>
      <c r="M75" s="3"/>
      <c r="N75" s="7">
        <f t="shared" si="23"/>
        <v>0</v>
      </c>
      <c r="O75" s="12"/>
      <c r="P75" s="8">
        <v>118.91</v>
      </c>
      <c r="Q75" s="3"/>
      <c r="R75" s="7">
        <f t="shared" si="24"/>
        <v>4.2823592881868227E-5</v>
      </c>
      <c r="S75" s="3"/>
      <c r="T75" s="8"/>
      <c r="U75" s="3"/>
      <c r="V75" s="7">
        <f t="shared" si="25"/>
        <v>0</v>
      </c>
      <c r="W75" s="3"/>
      <c r="X75" s="8">
        <f t="shared" si="26"/>
        <v>118.91</v>
      </c>
      <c r="Y75" s="3"/>
      <c r="Z75" s="7">
        <f t="shared" si="27"/>
        <v>0</v>
      </c>
    </row>
    <row r="76" spans="1:26" s="69" customFormat="1" ht="15" customHeight="1" outlineLevel="1" collapsed="1" x14ac:dyDescent="0.3">
      <c r="A76" s="25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2.0823962550185749E-4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3.3466938549483918E-4</v>
      </c>
      <c r="S76" s="2"/>
      <c r="T76" s="2">
        <f>SUM(OSRRefT22_8x_0)</f>
        <v>400</v>
      </c>
      <c r="U76" s="2"/>
      <c r="V76" s="6">
        <f t="shared" si="25"/>
        <v>1.8297123326270644E-4</v>
      </c>
      <c r="W76" s="2"/>
      <c r="X76" s="2">
        <f t="shared" si="26"/>
        <v>529.29</v>
      </c>
      <c r="Y76" s="2"/>
      <c r="Z76" s="6">
        <f t="shared" si="27"/>
        <v>1.3232249999999999</v>
      </c>
    </row>
    <row r="77" spans="1:26" s="70" customFormat="1" ht="15" hidden="1" customHeight="1" outlineLevel="2" x14ac:dyDescent="0.3">
      <c r="A77" s="26"/>
      <c r="B77" s="12" t="str">
        <f>CONCATENATE("          ","6305"," - ","FREIGHT OUT")</f>
        <v xml:space="preserve">          6305 - FREIGHT OUT</v>
      </c>
      <c r="C77" s="12"/>
      <c r="D77" s="8"/>
      <c r="E77" s="3"/>
      <c r="F77" s="7">
        <f t="shared" si="20"/>
        <v>0</v>
      </c>
      <c r="G77" s="3"/>
      <c r="H77" s="8">
        <v>50</v>
      </c>
      <c r="I77" s="3"/>
      <c r="J77" s="7">
        <f t="shared" si="21"/>
        <v>2.0823962550185749E-4</v>
      </c>
      <c r="K77" s="3"/>
      <c r="L77" s="8">
        <f t="shared" si="22"/>
        <v>-50</v>
      </c>
      <c r="M77" s="3"/>
      <c r="N77" s="7">
        <f t="shared" si="23"/>
        <v>-1</v>
      </c>
      <c r="O77" s="12"/>
      <c r="P77" s="8">
        <v>893.87</v>
      </c>
      <c r="Q77" s="3"/>
      <c r="R77" s="7">
        <f t="shared" si="24"/>
        <v>3.2191342165768696E-4</v>
      </c>
      <c r="S77" s="3"/>
      <c r="T77" s="8">
        <v>400</v>
      </c>
      <c r="U77" s="3"/>
      <c r="V77" s="7">
        <f t="shared" si="25"/>
        <v>1.8297123326270644E-4</v>
      </c>
      <c r="W77" s="3"/>
      <c r="X77" s="8">
        <f t="shared" si="26"/>
        <v>493.87</v>
      </c>
      <c r="Y77" s="3"/>
      <c r="Z77" s="7">
        <f t="shared" si="27"/>
        <v>1.234675</v>
      </c>
    </row>
    <row r="78" spans="1:26" s="70" customFormat="1" ht="15" hidden="1" customHeight="1" outlineLevel="2" x14ac:dyDescent="0.3">
      <c r="A78" s="26"/>
      <c r="B78" s="12" t="str">
        <f>CONCATENATE("          ","6307"," - ","POSTAGE")</f>
        <v xml:space="preserve">          6307 - POSTAGE</v>
      </c>
      <c r="C78" s="12"/>
      <c r="D78" s="8"/>
      <c r="E78" s="3"/>
      <c r="F78" s="7">
        <f t="shared" si="20"/>
        <v>0</v>
      </c>
      <c r="G78" s="3"/>
      <c r="H78" s="8"/>
      <c r="I78" s="3"/>
      <c r="J78" s="7">
        <f t="shared" si="21"/>
        <v>0</v>
      </c>
      <c r="K78" s="3"/>
      <c r="L78" s="8">
        <f t="shared" si="22"/>
        <v>0</v>
      </c>
      <c r="M78" s="3"/>
      <c r="N78" s="7">
        <f t="shared" si="23"/>
        <v>0</v>
      </c>
      <c r="O78" s="12"/>
      <c r="P78" s="8">
        <v>35.42</v>
      </c>
      <c r="Q78" s="3"/>
      <c r="R78" s="7">
        <f t="shared" si="24"/>
        <v>1.275596383715224E-5</v>
      </c>
      <c r="S78" s="3"/>
      <c r="T78" s="8"/>
      <c r="U78" s="3"/>
      <c r="V78" s="7">
        <f t="shared" si="25"/>
        <v>0</v>
      </c>
      <c r="W78" s="3"/>
      <c r="X78" s="8">
        <f t="shared" si="26"/>
        <v>35.42</v>
      </c>
      <c r="Y78" s="3"/>
      <c r="Z78" s="7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1157.1099999999999</v>
      </c>
      <c r="E79" s="2"/>
      <c r="F79" s="6">
        <f t="shared" si="20"/>
        <v>2.1742382781459392E-3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1157.1099999999999</v>
      </c>
      <c r="M79" s="2"/>
      <c r="N79" s="6">
        <f t="shared" si="23"/>
        <v>0</v>
      </c>
      <c r="O79" s="14"/>
      <c r="P79" s="2">
        <f>SUM(OSRRefP22_9x_0)</f>
        <v>2452.1999999999998</v>
      </c>
      <c r="Q79" s="2"/>
      <c r="R79" s="6">
        <f t="shared" si="24"/>
        <v>8.8312181031803267E-4</v>
      </c>
      <c r="S79" s="2"/>
      <c r="T79" s="2">
        <f>SUM(OSRRefT22_9x_0)</f>
        <v>1250</v>
      </c>
      <c r="U79" s="2"/>
      <c r="V79" s="6">
        <f t="shared" si="25"/>
        <v>5.7178510394595764E-4</v>
      </c>
      <c r="W79" s="2"/>
      <c r="X79" s="2">
        <f t="shared" si="26"/>
        <v>1202.1999999999998</v>
      </c>
      <c r="Y79" s="2"/>
      <c r="Z79" s="6">
        <f t="shared" si="27"/>
        <v>0.96175999999999984</v>
      </c>
    </row>
    <row r="80" spans="1:26" s="70" customFormat="1" ht="15" hidden="1" customHeight="1" outlineLevel="2" x14ac:dyDescent="0.3">
      <c r="A80" s="26"/>
      <c r="B80" s="12" t="str">
        <f>CONCATENATE("          ","6276"," - ","PROPERTY TAX")</f>
        <v xml:space="preserve">          6276 - PROPERTY TAX</v>
      </c>
      <c r="C80" s="12"/>
      <c r="D80" s="8"/>
      <c r="E80" s="3"/>
      <c r="F80" s="7">
        <f t="shared" si="20"/>
        <v>0</v>
      </c>
      <c r="G80" s="3"/>
      <c r="H80" s="8"/>
      <c r="I80" s="3"/>
      <c r="J80" s="7">
        <f t="shared" si="21"/>
        <v>0</v>
      </c>
      <c r="K80" s="3"/>
      <c r="L80" s="8">
        <f t="shared" si="22"/>
        <v>0</v>
      </c>
      <c r="M80" s="3"/>
      <c r="N80" s="7">
        <f t="shared" si="23"/>
        <v>0</v>
      </c>
      <c r="O80" s="12"/>
      <c r="P80" s="8"/>
      <c r="Q80" s="3"/>
      <c r="R80" s="7">
        <f t="shared" si="24"/>
        <v>0</v>
      </c>
      <c r="S80" s="3"/>
      <c r="T80" s="8">
        <v>1250</v>
      </c>
      <c r="U80" s="3"/>
      <c r="V80" s="7">
        <f t="shared" si="25"/>
        <v>5.7178510394595764E-4</v>
      </c>
      <c r="W80" s="3"/>
      <c r="X80" s="8">
        <f t="shared" si="26"/>
        <v>-1250</v>
      </c>
      <c r="Y80" s="3"/>
      <c r="Z80" s="7">
        <f t="shared" si="27"/>
        <v>-1</v>
      </c>
    </row>
    <row r="81" spans="1:26" s="70" customFormat="1" ht="15" hidden="1" customHeight="1" outlineLevel="2" x14ac:dyDescent="0.3">
      <c r="A81" s="26"/>
      <c r="B81" s="12" t="str">
        <f>CONCATENATE("          ","6279"," - ","GENERAL EXPENSE")</f>
        <v xml:space="preserve">          6279 - GENERAL EXPENSE</v>
      </c>
      <c r="C81" s="12"/>
      <c r="D81" s="8">
        <v>1157.1099999999999</v>
      </c>
      <c r="E81" s="3"/>
      <c r="F81" s="7">
        <f t="shared" si="20"/>
        <v>2.1742382781459392E-3</v>
      </c>
      <c r="G81" s="3"/>
      <c r="H81" s="8">
        <v>0</v>
      </c>
      <c r="I81" s="3"/>
      <c r="J81" s="7">
        <f t="shared" si="21"/>
        <v>0</v>
      </c>
      <c r="K81" s="3"/>
      <c r="L81" s="8">
        <f t="shared" si="22"/>
        <v>1157.1099999999999</v>
      </c>
      <c r="M81" s="3"/>
      <c r="N81" s="7">
        <f t="shared" si="23"/>
        <v>0</v>
      </c>
      <c r="O81" s="12"/>
      <c r="P81" s="8">
        <v>2452.1999999999998</v>
      </c>
      <c r="Q81" s="3"/>
      <c r="R81" s="7">
        <f t="shared" si="24"/>
        <v>8.8312181031803267E-4</v>
      </c>
      <c r="S81" s="3"/>
      <c r="T81" s="8">
        <v>0</v>
      </c>
      <c r="U81" s="3"/>
      <c r="V81" s="7">
        <f t="shared" si="25"/>
        <v>0</v>
      </c>
      <c r="W81" s="3"/>
      <c r="X81" s="8">
        <f t="shared" si="26"/>
        <v>2452.1999999999998</v>
      </c>
      <c r="Y81" s="3"/>
      <c r="Z81" s="7">
        <f t="shared" si="27"/>
        <v>0</v>
      </c>
    </row>
    <row r="82" spans="1:26" s="69" customFormat="1" ht="15" customHeight="1" outlineLevel="1" collapsed="1" x14ac:dyDescent="0.3">
      <c r="A82" s="25"/>
      <c r="B82" s="14" t="str">
        <f>CONCATENATE("     ","Insurance                                         ")</f>
        <v xml:space="preserve">     Insurance                                         </v>
      </c>
      <c r="C82" s="14"/>
      <c r="D82" s="2">
        <f>SUM(OSRRefD22_10x_0)</f>
        <v>219.08</v>
      </c>
      <c r="E82" s="2"/>
      <c r="F82" s="6">
        <f t="shared" si="20"/>
        <v>4.1165673270148248E-4</v>
      </c>
      <c r="G82" s="2"/>
      <c r="H82" s="2">
        <f>SUM(OSRRefH22_10x_0)</f>
        <v>175</v>
      </c>
      <c r="I82" s="2"/>
      <c r="J82" s="6">
        <f t="shared" si="21"/>
        <v>7.2883868925650126E-4</v>
      </c>
      <c r="K82" s="2"/>
      <c r="L82" s="2">
        <f t="shared" si="22"/>
        <v>44.080000000000013</v>
      </c>
      <c r="M82" s="2"/>
      <c r="N82" s="6">
        <f t="shared" si="23"/>
        <v>0.25188571428571438</v>
      </c>
      <c r="O82" s="14"/>
      <c r="P82" s="2">
        <f>SUM(OSRRefP22_10x_0)</f>
        <v>1752.64</v>
      </c>
      <c r="Q82" s="2"/>
      <c r="R82" s="6">
        <f t="shared" si="24"/>
        <v>6.311861225168408E-4</v>
      </c>
      <c r="S82" s="2"/>
      <c r="T82" s="2">
        <f>SUM(OSRRefT22_10x_0)</f>
        <v>1400</v>
      </c>
      <c r="U82" s="2"/>
      <c r="V82" s="6">
        <f t="shared" si="25"/>
        <v>6.4039931641947248E-4</v>
      </c>
      <c r="W82" s="2"/>
      <c r="X82" s="2">
        <f t="shared" si="26"/>
        <v>352.6400000000001</v>
      </c>
      <c r="Y82" s="2"/>
      <c r="Z82" s="6">
        <f t="shared" si="27"/>
        <v>0.25188571428571438</v>
      </c>
    </row>
    <row r="83" spans="1:26" s="70" customFormat="1" ht="15" hidden="1" customHeight="1" outlineLevel="2" x14ac:dyDescent="0.3">
      <c r="A83" s="26"/>
      <c r="B83" s="12" t="str">
        <f>CONCATENATE("          ","6314"," - ","LIABILITY INSURANCE")</f>
        <v xml:space="preserve">          6314 - LIABILITY INSURANCE</v>
      </c>
      <c r="C83" s="12"/>
      <c r="D83" s="8">
        <v>219.08</v>
      </c>
      <c r="E83" s="3"/>
      <c r="F83" s="7">
        <f t="shared" si="20"/>
        <v>4.1165673270148248E-4</v>
      </c>
      <c r="G83" s="3"/>
      <c r="H83" s="8">
        <v>175</v>
      </c>
      <c r="I83" s="3"/>
      <c r="J83" s="7">
        <f t="shared" si="21"/>
        <v>7.2883868925650126E-4</v>
      </c>
      <c r="K83" s="3"/>
      <c r="L83" s="8">
        <f t="shared" si="22"/>
        <v>44.080000000000013</v>
      </c>
      <c r="M83" s="3"/>
      <c r="N83" s="7">
        <f t="shared" si="23"/>
        <v>0.25188571428571438</v>
      </c>
      <c r="O83" s="12"/>
      <c r="P83" s="8">
        <v>1752.64</v>
      </c>
      <c r="Q83" s="3"/>
      <c r="R83" s="7">
        <f t="shared" si="24"/>
        <v>6.311861225168408E-4</v>
      </c>
      <c r="S83" s="3"/>
      <c r="T83" s="8">
        <v>1400</v>
      </c>
      <c r="U83" s="3"/>
      <c r="V83" s="7">
        <f t="shared" si="25"/>
        <v>6.4039931641947248E-4</v>
      </c>
      <c r="W83" s="3"/>
      <c r="X83" s="8">
        <f t="shared" si="26"/>
        <v>352.6400000000001</v>
      </c>
      <c r="Y83" s="3"/>
      <c r="Z83" s="7">
        <f t="shared" si="27"/>
        <v>0.25188571428571438</v>
      </c>
    </row>
    <row r="84" spans="1:26" s="69" customFormat="1" ht="15" customHeight="1" outlineLevel="1" collapsed="1" x14ac:dyDescent="0.3">
      <c r="A84" s="25"/>
      <c r="B84" s="14" t="str">
        <f>CONCATENATE("     ","Inventory Adjustment                              ")</f>
        <v xml:space="preserve">     Inventory Adjustment                              </v>
      </c>
      <c r="C84" s="14"/>
      <c r="D84" s="2">
        <f>SUM(OSRRefD22_11x_0)</f>
        <v>3450</v>
      </c>
      <c r="E84" s="2"/>
      <c r="F84" s="6">
        <f t="shared" si="20"/>
        <v>6.4826352374480305E-3</v>
      </c>
      <c r="G84" s="2"/>
      <c r="H84" s="2">
        <f>SUM(OSRRefH22_11x_0)</f>
        <v>3450</v>
      </c>
      <c r="I84" s="2"/>
      <c r="J84" s="6">
        <f t="shared" si="21"/>
        <v>1.4368534159628167E-2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SUM(OSRRefP22_11x_0)</f>
        <v>27600</v>
      </c>
      <c r="Q84" s="2"/>
      <c r="R84" s="6">
        <f t="shared" si="24"/>
        <v>9.939712080897849E-3</v>
      </c>
      <c r="S84" s="2"/>
      <c r="T84" s="2">
        <f>SUM(OSRRefT22_11x_0)</f>
        <v>27600</v>
      </c>
      <c r="U84" s="2"/>
      <c r="V84" s="6">
        <f t="shared" si="25"/>
        <v>1.2625015095126745E-2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","6408"," - ","INVENTORY ADJUSTMENT")</f>
        <v xml:space="preserve">          6408 - INVENTORY ADJUSTMENT</v>
      </c>
      <c r="C85" s="12"/>
      <c r="D85" s="8">
        <v>3450</v>
      </c>
      <c r="E85" s="3"/>
      <c r="F85" s="7">
        <f t="shared" si="20"/>
        <v>6.4826352374480305E-3</v>
      </c>
      <c r="G85" s="3"/>
      <c r="H85" s="8">
        <v>3450</v>
      </c>
      <c r="I85" s="3"/>
      <c r="J85" s="7">
        <f t="shared" si="21"/>
        <v>1.4368534159628167E-2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>
        <v>27600</v>
      </c>
      <c r="Q85" s="3"/>
      <c r="R85" s="7">
        <f t="shared" si="24"/>
        <v>9.939712080897849E-3</v>
      </c>
      <c r="S85" s="3"/>
      <c r="T85" s="8">
        <v>27600</v>
      </c>
      <c r="U85" s="3"/>
      <c r="V85" s="7">
        <f t="shared" si="25"/>
        <v>1.2625015095126745E-2</v>
      </c>
      <c r="W85" s="3"/>
      <c r="X85" s="8">
        <f t="shared" si="26"/>
        <v>0</v>
      </c>
      <c r="Y85" s="3"/>
      <c r="Z85" s="7">
        <f t="shared" si="27"/>
        <v>0</v>
      </c>
    </row>
    <row r="86" spans="1:26" s="69" customFormat="1" ht="15" customHeight="1" outlineLevel="1" collapsed="1" x14ac:dyDescent="0.3">
      <c r="A86" s="25"/>
      <c r="B86" s="14" t="str">
        <f>CONCATENATE("     ","Professional Services                             ")</f>
        <v xml:space="preserve">     Professional Services                             </v>
      </c>
      <c r="C86" s="14"/>
      <c r="D86" s="2">
        <f>SUM(OSRRefD22_12x_0)</f>
        <v>390</v>
      </c>
      <c r="E86" s="2"/>
      <c r="F86" s="6">
        <f t="shared" si="20"/>
        <v>7.3281963553760345E-4</v>
      </c>
      <c r="G86" s="2"/>
      <c r="H86" s="2">
        <f>SUM(OSRRefH22_12x_0)</f>
        <v>0</v>
      </c>
      <c r="I86" s="2"/>
      <c r="J86" s="6">
        <f t="shared" si="21"/>
        <v>0</v>
      </c>
      <c r="K86" s="2"/>
      <c r="L86" s="2">
        <f t="shared" si="22"/>
        <v>390</v>
      </c>
      <c r="M86" s="2"/>
      <c r="N86" s="6">
        <f t="shared" si="23"/>
        <v>0</v>
      </c>
      <c r="O86" s="14"/>
      <c r="P86" s="2">
        <f>SUM(OSRRefP22_12x_0)</f>
        <v>1059.0999999999999</v>
      </c>
      <c r="Q86" s="2"/>
      <c r="R86" s="6">
        <f t="shared" si="24"/>
        <v>3.8141844437967066E-4</v>
      </c>
      <c r="S86" s="2"/>
      <c r="T86" s="2">
        <f>SUM(OSRRefT22_12x_0)</f>
        <v>1500</v>
      </c>
      <c r="U86" s="2"/>
      <c r="V86" s="6">
        <f t="shared" si="25"/>
        <v>6.8614212473514912E-4</v>
      </c>
      <c r="W86" s="2"/>
      <c r="X86" s="2">
        <f t="shared" si="26"/>
        <v>-440.90000000000009</v>
      </c>
      <c r="Y86" s="2"/>
      <c r="Z86" s="6">
        <f t="shared" si="27"/>
        <v>-0.29393333333333338</v>
      </c>
    </row>
    <row r="87" spans="1:26" s="70" customFormat="1" ht="15" hidden="1" customHeight="1" outlineLevel="2" x14ac:dyDescent="0.3">
      <c r="A87" s="26"/>
      <c r="B87" s="12" t="str">
        <f>CONCATENATE("          ","6336"," - ","PROFESSIONAL SERVICES")</f>
        <v xml:space="preserve">          6336 - PROFESSIONAL SERVICES</v>
      </c>
      <c r="C87" s="12"/>
      <c r="D87" s="8">
        <v>390</v>
      </c>
      <c r="E87" s="3"/>
      <c r="F87" s="7">
        <f t="shared" si="20"/>
        <v>7.3281963553760345E-4</v>
      </c>
      <c r="G87" s="3"/>
      <c r="H87" s="8">
        <v>0</v>
      </c>
      <c r="I87" s="3"/>
      <c r="J87" s="7">
        <f t="shared" si="21"/>
        <v>0</v>
      </c>
      <c r="K87" s="3"/>
      <c r="L87" s="8">
        <f t="shared" si="22"/>
        <v>390</v>
      </c>
      <c r="M87" s="3"/>
      <c r="N87" s="7">
        <f t="shared" si="23"/>
        <v>0</v>
      </c>
      <c r="O87" s="12"/>
      <c r="P87" s="8">
        <v>1059.0999999999999</v>
      </c>
      <c r="Q87" s="3"/>
      <c r="R87" s="7">
        <f t="shared" si="24"/>
        <v>3.8141844437967066E-4</v>
      </c>
      <c r="S87" s="3"/>
      <c r="T87" s="8">
        <v>1500</v>
      </c>
      <c r="U87" s="3"/>
      <c r="V87" s="7">
        <f t="shared" si="25"/>
        <v>6.8614212473514912E-4</v>
      </c>
      <c r="W87" s="3"/>
      <c r="X87" s="8">
        <f t="shared" si="26"/>
        <v>-440.90000000000009</v>
      </c>
      <c r="Y87" s="3"/>
      <c r="Z87" s="7">
        <f t="shared" si="27"/>
        <v>-0.29393333333333338</v>
      </c>
    </row>
    <row r="88" spans="1:26" s="69" customFormat="1" ht="15" customHeight="1" outlineLevel="1" collapsed="1" x14ac:dyDescent="0.3">
      <c r="A88" s="25"/>
      <c r="B88" s="14" t="str">
        <f>CONCATENATE("     ","Rent                                              ")</f>
        <v xml:space="preserve">     Rent                                              </v>
      </c>
      <c r="C88" s="14"/>
      <c r="D88" s="2">
        <f>SUM(OSRRefD22_13x_0)</f>
        <v>6900</v>
      </c>
      <c r="E88" s="2"/>
      <c r="F88" s="6">
        <f t="shared" si="20"/>
        <v>1.2965270474896061E-2</v>
      </c>
      <c r="G88" s="2"/>
      <c r="H88" s="2">
        <f>SUM(OSRRefH22_13x_0)</f>
        <v>6900</v>
      </c>
      <c r="I88" s="2"/>
      <c r="J88" s="6">
        <f t="shared" si="21"/>
        <v>2.8737068319256334E-2</v>
      </c>
      <c r="K88" s="2"/>
      <c r="L88" s="2">
        <f t="shared" si="22"/>
        <v>0</v>
      </c>
      <c r="M88" s="2"/>
      <c r="N88" s="6">
        <f t="shared" si="23"/>
        <v>0</v>
      </c>
      <c r="O88" s="14"/>
      <c r="P88" s="2">
        <f>SUM(OSRRefP22_13x_0)</f>
        <v>55200</v>
      </c>
      <c r="Q88" s="2"/>
      <c r="R88" s="6">
        <f t="shared" si="24"/>
        <v>1.9879424161795698E-2</v>
      </c>
      <c r="S88" s="2"/>
      <c r="T88" s="2">
        <f>SUM(OSRRefT22_13x_0)</f>
        <v>55200</v>
      </c>
      <c r="U88" s="2"/>
      <c r="V88" s="6">
        <f t="shared" si="25"/>
        <v>2.525003019025349E-2</v>
      </c>
      <c r="W88" s="2"/>
      <c r="X88" s="2">
        <f t="shared" si="26"/>
        <v>0</v>
      </c>
      <c r="Y88" s="2"/>
      <c r="Z88" s="6">
        <f t="shared" si="27"/>
        <v>0</v>
      </c>
    </row>
    <row r="89" spans="1:26" s="70" customFormat="1" ht="15" hidden="1" customHeight="1" outlineLevel="2" x14ac:dyDescent="0.3">
      <c r="A89" s="26"/>
      <c r="B89" s="12" t="str">
        <f>CONCATENATE("          ","6273"," - ","RENT")</f>
        <v xml:space="preserve">          6273 - RENT</v>
      </c>
      <c r="C89" s="12"/>
      <c r="D89" s="8">
        <v>6900</v>
      </c>
      <c r="E89" s="3"/>
      <c r="F89" s="7">
        <f t="shared" si="20"/>
        <v>1.2965270474896061E-2</v>
      </c>
      <c r="G89" s="3"/>
      <c r="H89" s="8">
        <v>6900</v>
      </c>
      <c r="I89" s="3"/>
      <c r="J89" s="7">
        <f t="shared" si="21"/>
        <v>2.8737068319256334E-2</v>
      </c>
      <c r="K89" s="3"/>
      <c r="L89" s="8">
        <f t="shared" si="22"/>
        <v>0</v>
      </c>
      <c r="M89" s="3"/>
      <c r="N89" s="7">
        <f t="shared" si="23"/>
        <v>0</v>
      </c>
      <c r="O89" s="12"/>
      <c r="P89" s="8">
        <v>55200</v>
      </c>
      <c r="Q89" s="3"/>
      <c r="R89" s="7">
        <f t="shared" si="24"/>
        <v>1.9879424161795698E-2</v>
      </c>
      <c r="S89" s="3"/>
      <c r="T89" s="8">
        <v>55200</v>
      </c>
      <c r="U89" s="3"/>
      <c r="V89" s="7">
        <f t="shared" si="25"/>
        <v>2.525003019025349E-2</v>
      </c>
      <c r="W89" s="3"/>
      <c r="X89" s="8">
        <f t="shared" si="26"/>
        <v>0</v>
      </c>
      <c r="Y89" s="3"/>
      <c r="Z89" s="7">
        <f t="shared" si="27"/>
        <v>0</v>
      </c>
    </row>
    <row r="90" spans="1:26" s="69" customFormat="1" ht="15" customHeight="1" outlineLevel="1" collapsed="1" x14ac:dyDescent="0.3">
      <c r="A90" s="25"/>
      <c r="B90" s="14" t="str">
        <f>CONCATENATE("     ","Repair and Maintenance                            ")</f>
        <v xml:space="preserve">     Repair and Maintenance                            </v>
      </c>
      <c r="C90" s="14"/>
      <c r="D90" s="2">
        <f>SUM(OSRRefD22_14x_0)</f>
        <v>20.29</v>
      </c>
      <c r="E90" s="2"/>
      <c r="F90" s="6">
        <f t="shared" si="20"/>
        <v>3.8125411295020447E-5</v>
      </c>
      <c r="G90" s="2"/>
      <c r="H90" s="2">
        <f>SUM(OSRRefH22_14x_0)</f>
        <v>115</v>
      </c>
      <c r="I90" s="2"/>
      <c r="J90" s="6">
        <f t="shared" si="21"/>
        <v>4.7895113865427223E-4</v>
      </c>
      <c r="K90" s="2"/>
      <c r="L90" s="2">
        <f t="shared" si="22"/>
        <v>-94.710000000000008</v>
      </c>
      <c r="M90" s="2"/>
      <c r="N90" s="6">
        <f t="shared" si="23"/>
        <v>-0.82356521739130439</v>
      </c>
      <c r="O90" s="14"/>
      <c r="P90" s="2">
        <f>SUM(OSRRefP22_14x_0)</f>
        <v>2991.2200000000003</v>
      </c>
      <c r="Q90" s="2"/>
      <c r="R90" s="6">
        <f t="shared" si="24"/>
        <v>1.0772415061820024E-3</v>
      </c>
      <c r="S90" s="2"/>
      <c r="T90" s="2">
        <f>SUM(OSRRefT22_14x_0)</f>
        <v>1420</v>
      </c>
      <c r="U90" s="2"/>
      <c r="V90" s="6">
        <f t="shared" si="25"/>
        <v>6.4954787808260781E-4</v>
      </c>
      <c r="W90" s="2"/>
      <c r="X90" s="2">
        <f t="shared" si="26"/>
        <v>1571.2200000000003</v>
      </c>
      <c r="Y90" s="2"/>
      <c r="Z90" s="6">
        <f t="shared" si="27"/>
        <v>1.106492957746479</v>
      </c>
    </row>
    <row r="91" spans="1:26" s="70" customFormat="1" ht="15" hidden="1" customHeight="1" outlineLevel="2" x14ac:dyDescent="0.3">
      <c r="A91" s="26"/>
      <c r="B91" s="12" t="str">
        <f>CONCATENATE("          ","6373"," - ","MAINTENANCE CONTRACTS")</f>
        <v xml:space="preserve">          6373 - MAINTENANCE CONTRACTS</v>
      </c>
      <c r="C91" s="12"/>
      <c r="D91" s="8">
        <v>12.04</v>
      </c>
      <c r="E91" s="3"/>
      <c r="F91" s="7">
        <f t="shared" si="20"/>
        <v>2.2623457466340373E-5</v>
      </c>
      <c r="G91" s="3"/>
      <c r="H91" s="8">
        <v>115</v>
      </c>
      <c r="I91" s="3"/>
      <c r="J91" s="7">
        <f t="shared" si="21"/>
        <v>4.7895113865427223E-4</v>
      </c>
      <c r="K91" s="3"/>
      <c r="L91" s="8">
        <f t="shared" si="22"/>
        <v>-102.96000000000001</v>
      </c>
      <c r="M91" s="3"/>
      <c r="N91" s="7">
        <f t="shared" si="23"/>
        <v>-0.89530434782608703</v>
      </c>
      <c r="O91" s="12"/>
      <c r="P91" s="8">
        <v>481.57</v>
      </c>
      <c r="Q91" s="3"/>
      <c r="R91" s="7">
        <f t="shared" si="24"/>
        <v>1.7342996908688321E-4</v>
      </c>
      <c r="S91" s="3"/>
      <c r="T91" s="8">
        <v>920</v>
      </c>
      <c r="U91" s="3"/>
      <c r="V91" s="7">
        <f t="shared" si="25"/>
        <v>4.2083383650422479E-4</v>
      </c>
      <c r="W91" s="3"/>
      <c r="X91" s="8">
        <f t="shared" si="26"/>
        <v>-438.43</v>
      </c>
      <c r="Y91" s="3"/>
      <c r="Z91" s="7">
        <f t="shared" si="27"/>
        <v>-0.47655434782608697</v>
      </c>
    </row>
    <row r="92" spans="1:26" s="70" customFormat="1" ht="15" hidden="1" customHeight="1" outlineLevel="2" x14ac:dyDescent="0.3">
      <c r="A92" s="26"/>
      <c r="B92" s="12" t="str">
        <f>CONCATENATE("          ","6375"," - ","OUTSIDE REPAIRS &amp; MAINTENANCE")</f>
        <v xml:space="preserve">          6375 - OUTSIDE REPAIRS &amp; MAINTENANCE</v>
      </c>
      <c r="C92" s="12"/>
      <c r="D92" s="8">
        <v>8.25</v>
      </c>
      <c r="E92" s="3"/>
      <c r="F92" s="7">
        <f t="shared" si="20"/>
        <v>1.5501953828680074E-5</v>
      </c>
      <c r="G92" s="3"/>
      <c r="H92" s="8">
        <v>0</v>
      </c>
      <c r="I92" s="3"/>
      <c r="J92" s="7">
        <f t="shared" si="21"/>
        <v>0</v>
      </c>
      <c r="K92" s="3"/>
      <c r="L92" s="8">
        <f t="shared" si="22"/>
        <v>8.25</v>
      </c>
      <c r="M92" s="3"/>
      <c r="N92" s="7">
        <f t="shared" si="23"/>
        <v>0</v>
      </c>
      <c r="O92" s="12"/>
      <c r="P92" s="8">
        <v>2509.65</v>
      </c>
      <c r="Q92" s="3"/>
      <c r="R92" s="7">
        <f t="shared" si="24"/>
        <v>9.0381153709511905E-4</v>
      </c>
      <c r="S92" s="3"/>
      <c r="T92" s="8">
        <v>500</v>
      </c>
      <c r="U92" s="3"/>
      <c r="V92" s="7">
        <f t="shared" si="25"/>
        <v>2.2871404157838305E-4</v>
      </c>
      <c r="W92" s="3"/>
      <c r="X92" s="8">
        <f t="shared" si="26"/>
        <v>2009.65</v>
      </c>
      <c r="Y92" s="3"/>
      <c r="Z92" s="7">
        <f t="shared" si="27"/>
        <v>4.0193000000000003</v>
      </c>
    </row>
    <row r="93" spans="1:26" s="69" customFormat="1" ht="15" customHeight="1" outlineLevel="1" collapsed="1" x14ac:dyDescent="0.3">
      <c r="A93" s="25"/>
      <c r="B93" s="14" t="str">
        <f>CONCATENATE("     ","Royalty &amp; Commissions                             ")</f>
        <v xml:space="preserve">     Royalty &amp; Commissions                             </v>
      </c>
      <c r="C93" s="14"/>
      <c r="D93" s="2">
        <f>SUM(OSRRefD22_15x_0)</f>
        <v>3147.46</v>
      </c>
      <c r="E93" s="2"/>
      <c r="F93" s="6">
        <f t="shared" si="20"/>
        <v>5.914155102741501E-3</v>
      </c>
      <c r="G93" s="2"/>
      <c r="H93" s="2">
        <f>SUM(OSRRefH22_15x_0)</f>
        <v>1446</v>
      </c>
      <c r="I93" s="2"/>
      <c r="J93" s="6">
        <f t="shared" si="21"/>
        <v>6.0222899695137186E-3</v>
      </c>
      <c r="K93" s="2"/>
      <c r="L93" s="2">
        <f t="shared" si="22"/>
        <v>1701.46</v>
      </c>
      <c r="M93" s="2"/>
      <c r="N93" s="6">
        <f t="shared" si="23"/>
        <v>1.1766666666666667</v>
      </c>
      <c r="O93" s="14"/>
      <c r="P93" s="2">
        <f>SUM(OSRRefP22_15x_0)</f>
        <v>42730.310000000005</v>
      </c>
      <c r="Q93" s="2"/>
      <c r="R93" s="6">
        <f t="shared" si="24"/>
        <v>1.5388658642301094E-2</v>
      </c>
      <c r="S93" s="2"/>
      <c r="T93" s="2">
        <f>SUM(OSRRefT22_15x_0)</f>
        <v>36944</v>
      </c>
      <c r="U93" s="2"/>
      <c r="V93" s="6">
        <f t="shared" si="25"/>
        <v>1.6899223104143567E-2</v>
      </c>
      <c r="W93" s="2"/>
      <c r="X93" s="2">
        <f t="shared" si="26"/>
        <v>5786.3100000000049</v>
      </c>
      <c r="Y93" s="2"/>
      <c r="Z93" s="6">
        <f t="shared" si="27"/>
        <v>0.15662380900822881</v>
      </c>
    </row>
    <row r="94" spans="1:26" s="70" customFormat="1" ht="15" hidden="1" customHeight="1" outlineLevel="2" x14ac:dyDescent="0.3">
      <c r="A94" s="26"/>
      <c r="B94" s="12" t="str">
        <f>CONCATENATE("          ","6252"," - ","ROYALTY DUE CSTV")</f>
        <v xml:space="preserve">          6252 - ROYALTY DUE CSTV</v>
      </c>
      <c r="C94" s="12"/>
      <c r="D94" s="8"/>
      <c r="E94" s="3"/>
      <c r="F94" s="7">
        <f t="shared" si="20"/>
        <v>0</v>
      </c>
      <c r="G94" s="3"/>
      <c r="H94" s="8">
        <v>446</v>
      </c>
      <c r="I94" s="3"/>
      <c r="J94" s="7">
        <f t="shared" si="21"/>
        <v>1.8574974594765688E-3</v>
      </c>
      <c r="K94" s="3"/>
      <c r="L94" s="8">
        <f t="shared" si="22"/>
        <v>-446</v>
      </c>
      <c r="M94" s="3"/>
      <c r="N94" s="7">
        <f t="shared" si="23"/>
        <v>-1</v>
      </c>
      <c r="O94" s="12"/>
      <c r="P94" s="8"/>
      <c r="Q94" s="3"/>
      <c r="R94" s="7">
        <f t="shared" si="24"/>
        <v>0</v>
      </c>
      <c r="S94" s="3"/>
      <c r="T94" s="8">
        <v>11497</v>
      </c>
      <c r="U94" s="3"/>
      <c r="V94" s="7">
        <f t="shared" si="25"/>
        <v>5.2590506720533396E-3</v>
      </c>
      <c r="W94" s="3"/>
      <c r="X94" s="8">
        <f t="shared" si="26"/>
        <v>-11497</v>
      </c>
      <c r="Y94" s="3"/>
      <c r="Z94" s="7">
        <f t="shared" si="27"/>
        <v>-1</v>
      </c>
    </row>
    <row r="95" spans="1:26" s="70" customFormat="1" ht="15" hidden="1" customHeight="1" outlineLevel="2" x14ac:dyDescent="0.3">
      <c r="A95" s="26"/>
      <c r="B95" s="12" t="str">
        <f>CONCATENATE("          ","6253"," - ","ROYALTY DUE ATHLETICS-LRG")</f>
        <v xml:space="preserve">          6253 - ROYALTY DUE ATHLETICS-LRG</v>
      </c>
      <c r="C95" s="12"/>
      <c r="D95" s="8"/>
      <c r="E95" s="3"/>
      <c r="F95" s="7">
        <f t="shared" si="20"/>
        <v>0</v>
      </c>
      <c r="G95" s="3"/>
      <c r="H95" s="8">
        <v>0</v>
      </c>
      <c r="I95" s="3"/>
      <c r="J95" s="7">
        <f t="shared" si="21"/>
        <v>0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>
        <v>39221.160000000003</v>
      </c>
      <c r="Q95" s="3"/>
      <c r="R95" s="7">
        <f t="shared" si="24"/>
        <v>1.4124892676769111E-2</v>
      </c>
      <c r="S95" s="3"/>
      <c r="T95" s="8">
        <v>23947</v>
      </c>
      <c r="U95" s="3"/>
      <c r="V95" s="7">
        <f t="shared" si="25"/>
        <v>1.0954030307355077E-2</v>
      </c>
      <c r="W95" s="3"/>
      <c r="X95" s="8">
        <f t="shared" si="26"/>
        <v>15274.160000000003</v>
      </c>
      <c r="Y95" s="3"/>
      <c r="Z95" s="7">
        <f t="shared" si="27"/>
        <v>0.63783187873220037</v>
      </c>
    </row>
    <row r="96" spans="1:26" s="70" customFormat="1" ht="15" hidden="1" customHeight="1" outlineLevel="2" x14ac:dyDescent="0.3">
      <c r="A96" s="26"/>
      <c r="B96" s="12" t="str">
        <f>CONCATENATE("          ","6254"," - ","ROYALTY &amp; COMMISSIONS")</f>
        <v xml:space="preserve">          6254 - ROYALTY &amp; COMMISSIONS</v>
      </c>
      <c r="C96" s="12"/>
      <c r="D96" s="8">
        <v>3147.46</v>
      </c>
      <c r="E96" s="3"/>
      <c r="F96" s="7">
        <f t="shared" si="20"/>
        <v>5.914155102741501E-3</v>
      </c>
      <c r="G96" s="3"/>
      <c r="H96" s="8">
        <v>1000</v>
      </c>
      <c r="I96" s="3"/>
      <c r="J96" s="7">
        <f t="shared" si="21"/>
        <v>4.1647925100371502E-3</v>
      </c>
      <c r="K96" s="3"/>
      <c r="L96" s="8">
        <f t="shared" si="22"/>
        <v>2147.46</v>
      </c>
      <c r="M96" s="3"/>
      <c r="N96" s="7">
        <f t="shared" si="23"/>
        <v>2.1474600000000001</v>
      </c>
      <c r="O96" s="12"/>
      <c r="P96" s="8">
        <v>3509.15</v>
      </c>
      <c r="Q96" s="3"/>
      <c r="R96" s="7">
        <f t="shared" si="24"/>
        <v>1.2637659655319814E-3</v>
      </c>
      <c r="S96" s="3"/>
      <c r="T96" s="8">
        <v>1500</v>
      </c>
      <c r="U96" s="3"/>
      <c r="V96" s="7">
        <f t="shared" si="25"/>
        <v>6.8614212473514912E-4</v>
      </c>
      <c r="W96" s="3"/>
      <c r="X96" s="8">
        <f t="shared" si="26"/>
        <v>2009.15</v>
      </c>
      <c r="Y96" s="3"/>
      <c r="Z96" s="7">
        <f t="shared" si="27"/>
        <v>1.3394333333333335</v>
      </c>
    </row>
    <row r="97" spans="1:26" s="69" customFormat="1" ht="15" customHeight="1" outlineLevel="1" collapsed="1" x14ac:dyDescent="0.3">
      <c r="A97" s="25"/>
      <c r="B97" s="14" t="str">
        <f>CONCATENATE("     ","Services                                          ")</f>
        <v xml:space="preserve">     Services                                          </v>
      </c>
      <c r="C97" s="14"/>
      <c r="D97" s="2">
        <f>SUM(OSRRefD22_16x_0)</f>
        <v>223.45</v>
      </c>
      <c r="E97" s="2"/>
      <c r="F97" s="6">
        <f t="shared" si="20"/>
        <v>4.1986807066891663E-4</v>
      </c>
      <c r="G97" s="2"/>
      <c r="H97" s="2">
        <f>SUM(OSRRefH22_16x_0)</f>
        <v>60</v>
      </c>
      <c r="I97" s="2"/>
      <c r="J97" s="6">
        <f t="shared" si="21"/>
        <v>2.4988755060222897E-4</v>
      </c>
      <c r="K97" s="2"/>
      <c r="L97" s="2">
        <f t="shared" si="22"/>
        <v>163.44999999999999</v>
      </c>
      <c r="M97" s="2"/>
      <c r="N97" s="6">
        <f t="shared" si="23"/>
        <v>2.7241666666666666</v>
      </c>
      <c r="O97" s="14"/>
      <c r="P97" s="2">
        <f>SUM(OSRRefP22_16x_0)</f>
        <v>1355.3600000000001</v>
      </c>
      <c r="Q97" s="2"/>
      <c r="R97" s="6">
        <f t="shared" si="24"/>
        <v>4.8811189007122137E-4</v>
      </c>
      <c r="S97" s="2"/>
      <c r="T97" s="2">
        <f>SUM(OSRRefT22_16x_0)</f>
        <v>600</v>
      </c>
      <c r="U97" s="2"/>
      <c r="V97" s="6">
        <f t="shared" si="25"/>
        <v>2.7445684989405966E-4</v>
      </c>
      <c r="W97" s="2"/>
      <c r="X97" s="2">
        <f t="shared" si="26"/>
        <v>755.36000000000013</v>
      </c>
      <c r="Y97" s="2"/>
      <c r="Z97" s="6">
        <f t="shared" si="27"/>
        <v>1.2589333333333335</v>
      </c>
    </row>
    <row r="98" spans="1:26" s="70" customFormat="1" ht="15" hidden="1" customHeight="1" outlineLevel="2" x14ac:dyDescent="0.3">
      <c r="A98" s="26"/>
      <c r="B98" s="12" t="str">
        <f>CONCATENATE("          ","6284"," - ","TRASH REMOVAL EXPENSE")</f>
        <v xml:space="preserve">          6284 - TRASH REMOVAL EXPENSE</v>
      </c>
      <c r="C98" s="12"/>
      <c r="D98" s="8">
        <v>149.69999999999999</v>
      </c>
      <c r="E98" s="3"/>
      <c r="F98" s="7">
        <f t="shared" si="20"/>
        <v>2.8128999856404932E-4</v>
      </c>
      <c r="G98" s="3"/>
      <c r="H98" s="8">
        <v>60</v>
      </c>
      <c r="I98" s="3"/>
      <c r="J98" s="7">
        <f t="shared" si="21"/>
        <v>2.4988755060222897E-4</v>
      </c>
      <c r="K98" s="3"/>
      <c r="L98" s="8">
        <f t="shared" si="22"/>
        <v>89.699999999999989</v>
      </c>
      <c r="M98" s="3"/>
      <c r="N98" s="7">
        <f t="shared" si="23"/>
        <v>1.4949999999999999</v>
      </c>
      <c r="O98" s="12"/>
      <c r="P98" s="8">
        <v>1190.47</v>
      </c>
      <c r="Q98" s="3"/>
      <c r="R98" s="7">
        <f t="shared" si="24"/>
        <v>4.2872931307777034E-4</v>
      </c>
      <c r="S98" s="3"/>
      <c r="T98" s="8">
        <v>600</v>
      </c>
      <c r="U98" s="3"/>
      <c r="V98" s="7">
        <f t="shared" si="25"/>
        <v>2.7445684989405966E-4</v>
      </c>
      <c r="W98" s="3"/>
      <c r="X98" s="8">
        <f t="shared" si="26"/>
        <v>590.47</v>
      </c>
      <c r="Y98" s="3"/>
      <c r="Z98" s="7">
        <f t="shared" si="27"/>
        <v>0.98411666666666675</v>
      </c>
    </row>
    <row r="99" spans="1:26" s="70" customFormat="1" ht="15" hidden="1" customHeight="1" outlineLevel="2" x14ac:dyDescent="0.3">
      <c r="A99" s="26"/>
      <c r="B99" s="12" t="str">
        <f>CONCATENATE("          ","6285"," - ","JANITORIAL SERVICES")</f>
        <v xml:space="preserve">          6285 - JANITORIAL SERVICES</v>
      </c>
      <c r="C99" s="12"/>
      <c r="D99" s="8">
        <v>73.75</v>
      </c>
      <c r="E99" s="3"/>
      <c r="F99" s="7">
        <f t="shared" si="20"/>
        <v>1.3857807210486731E-4</v>
      </c>
      <c r="G99" s="3"/>
      <c r="H99" s="8"/>
      <c r="I99" s="3"/>
      <c r="J99" s="7">
        <f t="shared" si="21"/>
        <v>0</v>
      </c>
      <c r="K99" s="3"/>
      <c r="L99" s="8">
        <f t="shared" si="22"/>
        <v>73.75</v>
      </c>
      <c r="M99" s="3"/>
      <c r="N99" s="7">
        <f t="shared" si="23"/>
        <v>0</v>
      </c>
      <c r="O99" s="12"/>
      <c r="P99" s="8">
        <v>164.89</v>
      </c>
      <c r="Q99" s="3"/>
      <c r="R99" s="7">
        <f t="shared" si="24"/>
        <v>5.9382576993450945E-5</v>
      </c>
      <c r="S99" s="3"/>
      <c r="T99" s="8"/>
      <c r="U99" s="3"/>
      <c r="V99" s="7">
        <f t="shared" si="25"/>
        <v>0</v>
      </c>
      <c r="W99" s="3"/>
      <c r="X99" s="8">
        <f t="shared" si="26"/>
        <v>164.89</v>
      </c>
      <c r="Y99" s="3"/>
      <c r="Z99" s="7">
        <f t="shared" si="27"/>
        <v>0</v>
      </c>
    </row>
    <row r="100" spans="1:26" s="69" customFormat="1" ht="15" customHeight="1" outlineLevel="1" collapsed="1" x14ac:dyDescent="0.3">
      <c r="A100" s="25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SUM(OSRRefD22_17x_0)</f>
        <v>0</v>
      </c>
      <c r="E100" s="2"/>
      <c r="F100" s="6">
        <f t="shared" si="20"/>
        <v>0</v>
      </c>
      <c r="G100" s="2"/>
      <c r="H100" s="2">
        <f>SUM(OSRRefH22_17x_0)</f>
        <v>161</v>
      </c>
      <c r="I100" s="2"/>
      <c r="J100" s="6">
        <f t="shared" si="21"/>
        <v>6.7053159411598116E-4</v>
      </c>
      <c r="K100" s="2"/>
      <c r="L100" s="2">
        <f t="shared" si="22"/>
        <v>-161</v>
      </c>
      <c r="M100" s="2"/>
      <c r="N100" s="6">
        <f t="shared" si="23"/>
        <v>-1</v>
      </c>
      <c r="O100" s="14"/>
      <c r="P100" s="2">
        <f>SUM(OSRRefP22_17x_0)</f>
        <v>0</v>
      </c>
      <c r="Q100" s="2"/>
      <c r="R100" s="6">
        <f t="shared" si="24"/>
        <v>0</v>
      </c>
      <c r="S100" s="2"/>
      <c r="T100" s="2">
        <f>SUM(OSRRefT22_17x_0)</f>
        <v>2163</v>
      </c>
      <c r="U100" s="2"/>
      <c r="V100" s="6">
        <f t="shared" si="25"/>
        <v>9.8941694386808516E-4</v>
      </c>
      <c r="W100" s="2"/>
      <c r="X100" s="2">
        <f t="shared" si="26"/>
        <v>-2163</v>
      </c>
      <c r="Y100" s="2"/>
      <c r="Z100" s="6">
        <f t="shared" si="27"/>
        <v>-1</v>
      </c>
    </row>
    <row r="101" spans="1:26" s="70" customFormat="1" ht="15" hidden="1" customHeight="1" outlineLevel="2" x14ac:dyDescent="0.3">
      <c r="A101" s="26"/>
      <c r="B101" s="12" t="str">
        <f>CONCATENATE("          ","6258"," - ","MEMBERSHIP DUES")</f>
        <v xml:space="preserve">          6258 - MEMBERSHIP DUES</v>
      </c>
      <c r="C101" s="12"/>
      <c r="D101" s="8"/>
      <c r="E101" s="3"/>
      <c r="F101" s="7">
        <f t="shared" si="20"/>
        <v>0</v>
      </c>
      <c r="G101" s="3"/>
      <c r="H101" s="8">
        <v>0</v>
      </c>
      <c r="I101" s="3"/>
      <c r="J101" s="7">
        <f t="shared" si="21"/>
        <v>0</v>
      </c>
      <c r="K101" s="3"/>
      <c r="L101" s="8">
        <f t="shared" si="22"/>
        <v>0</v>
      </c>
      <c r="M101" s="3"/>
      <c r="N101" s="7">
        <f t="shared" si="23"/>
        <v>0</v>
      </c>
      <c r="O101" s="12"/>
      <c r="P101" s="8"/>
      <c r="Q101" s="3"/>
      <c r="R101" s="7">
        <f t="shared" si="24"/>
        <v>0</v>
      </c>
      <c r="S101" s="3"/>
      <c r="T101" s="8">
        <v>1395</v>
      </c>
      <c r="U101" s="3"/>
      <c r="V101" s="7">
        <f t="shared" si="25"/>
        <v>6.3811217600368865E-4</v>
      </c>
      <c r="W101" s="3"/>
      <c r="X101" s="8">
        <f t="shared" si="26"/>
        <v>-1395</v>
      </c>
      <c r="Y101" s="3"/>
      <c r="Z101" s="7">
        <f t="shared" si="27"/>
        <v>-1</v>
      </c>
    </row>
    <row r="102" spans="1:26" s="70" customFormat="1" ht="15" hidden="1" customHeight="1" outlineLevel="2" x14ac:dyDescent="0.3">
      <c r="A102" s="26"/>
      <c r="B102" s="12" t="str">
        <f>CONCATENATE("          ","6275"," - ","SUBSCRIPTIONS")</f>
        <v xml:space="preserve">          6275 - SUBSCRIPTIONS</v>
      </c>
      <c r="C102" s="12"/>
      <c r="D102" s="8"/>
      <c r="E102" s="3"/>
      <c r="F102" s="7">
        <f t="shared" si="20"/>
        <v>0</v>
      </c>
      <c r="G102" s="3"/>
      <c r="H102" s="8">
        <v>161</v>
      </c>
      <c r="I102" s="3"/>
      <c r="J102" s="7">
        <f t="shared" si="21"/>
        <v>6.7053159411598116E-4</v>
      </c>
      <c r="K102" s="3"/>
      <c r="L102" s="8">
        <f t="shared" si="22"/>
        <v>-161</v>
      </c>
      <c r="M102" s="3"/>
      <c r="N102" s="7">
        <f t="shared" si="23"/>
        <v>-1</v>
      </c>
      <c r="O102" s="12"/>
      <c r="P102" s="8"/>
      <c r="Q102" s="3"/>
      <c r="R102" s="7">
        <f t="shared" si="24"/>
        <v>0</v>
      </c>
      <c r="S102" s="3"/>
      <c r="T102" s="8">
        <v>768</v>
      </c>
      <c r="U102" s="3"/>
      <c r="V102" s="7">
        <f t="shared" si="25"/>
        <v>3.5130476786439634E-4</v>
      </c>
      <c r="W102" s="3"/>
      <c r="X102" s="8">
        <f t="shared" si="26"/>
        <v>-768</v>
      </c>
      <c r="Y102" s="3"/>
      <c r="Z102" s="7">
        <f t="shared" si="27"/>
        <v>-1</v>
      </c>
    </row>
    <row r="103" spans="1:26" s="69" customFormat="1" ht="15" customHeight="1" outlineLevel="1" collapsed="1" x14ac:dyDescent="0.3">
      <c r="A103" s="25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SUM(OSRRefD22_18x_0)</f>
        <v>473.25</v>
      </c>
      <c r="E103" s="2"/>
      <c r="F103" s="6">
        <f t="shared" si="20"/>
        <v>8.8924844235428421E-4</v>
      </c>
      <c r="G103" s="2"/>
      <c r="H103" s="2">
        <f>SUM(OSRRefH22_18x_0)</f>
        <v>105</v>
      </c>
      <c r="I103" s="2"/>
      <c r="J103" s="6">
        <f t="shared" si="21"/>
        <v>4.3730321355390074E-4</v>
      </c>
      <c r="K103" s="2"/>
      <c r="L103" s="2">
        <f t="shared" si="22"/>
        <v>368.25</v>
      </c>
      <c r="M103" s="2"/>
      <c r="N103" s="6">
        <f t="shared" si="23"/>
        <v>3.5071428571428571</v>
      </c>
      <c r="O103" s="14"/>
      <c r="P103" s="2">
        <f>SUM(OSRRefP22_18x_0)</f>
        <v>9196.85</v>
      </c>
      <c r="Q103" s="2"/>
      <c r="R103" s="6">
        <f t="shared" si="24"/>
        <v>3.3121029366378761E-3</v>
      </c>
      <c r="S103" s="2"/>
      <c r="T103" s="2">
        <f>SUM(OSRRefT22_18x_0)</f>
        <v>920</v>
      </c>
      <c r="U103" s="2"/>
      <c r="V103" s="6">
        <f t="shared" si="25"/>
        <v>4.2083383650422479E-4</v>
      </c>
      <c r="W103" s="2"/>
      <c r="X103" s="2">
        <f t="shared" si="26"/>
        <v>8276.85</v>
      </c>
      <c r="Y103" s="2"/>
      <c r="Z103" s="6">
        <f t="shared" si="27"/>
        <v>8.996576086956523</v>
      </c>
    </row>
    <row r="104" spans="1:26" s="70" customFormat="1" ht="15" hidden="1" customHeight="1" outlineLevel="2" x14ac:dyDescent="0.3">
      <c r="A104" s="26"/>
      <c r="B104" s="12" t="str">
        <f>CONCATENATE("          ","6235"," - ","COVID-19 EXPENSES")</f>
        <v xml:space="preserve">          6235 - COVID-19 EXPENSES</v>
      </c>
      <c r="C104" s="12"/>
      <c r="D104" s="8"/>
      <c r="E104" s="3"/>
      <c r="F104" s="7">
        <f t="shared" si="20"/>
        <v>0</v>
      </c>
      <c r="G104" s="3"/>
      <c r="H104" s="8">
        <v>0</v>
      </c>
      <c r="I104" s="3"/>
      <c r="J104" s="7">
        <f t="shared" si="21"/>
        <v>0</v>
      </c>
      <c r="K104" s="3"/>
      <c r="L104" s="8">
        <f t="shared" si="22"/>
        <v>0</v>
      </c>
      <c r="M104" s="3"/>
      <c r="N104" s="7">
        <f t="shared" si="23"/>
        <v>0</v>
      </c>
      <c r="O104" s="12"/>
      <c r="P104" s="8"/>
      <c r="Q104" s="3"/>
      <c r="R104" s="7">
        <f t="shared" si="24"/>
        <v>0</v>
      </c>
      <c r="S104" s="3"/>
      <c r="T104" s="8">
        <v>0</v>
      </c>
      <c r="U104" s="3"/>
      <c r="V104" s="7">
        <f t="shared" si="25"/>
        <v>0</v>
      </c>
      <c r="W104" s="3"/>
      <c r="X104" s="8">
        <f t="shared" si="26"/>
        <v>0</v>
      </c>
      <c r="Y104" s="3"/>
      <c r="Z104" s="7">
        <f t="shared" si="27"/>
        <v>0</v>
      </c>
    </row>
    <row r="105" spans="1:26" s="70" customFormat="1" ht="15" hidden="1" customHeight="1" outlineLevel="2" x14ac:dyDescent="0.3">
      <c r="A105" s="26"/>
      <c r="B105" s="12" t="str">
        <f>CONCATENATE("          ","6237"," - ","JANITORIAL SUPPLIES")</f>
        <v xml:space="preserve">          6237 - JANITORIAL SUPPLIES</v>
      </c>
      <c r="C105" s="12"/>
      <c r="D105" s="8"/>
      <c r="E105" s="3"/>
      <c r="F105" s="7">
        <f t="shared" si="20"/>
        <v>0</v>
      </c>
      <c r="G105" s="3"/>
      <c r="H105" s="8">
        <v>10</v>
      </c>
      <c r="I105" s="3"/>
      <c r="J105" s="7">
        <f t="shared" si="21"/>
        <v>4.16479251003715E-5</v>
      </c>
      <c r="K105" s="3"/>
      <c r="L105" s="8">
        <f t="shared" si="22"/>
        <v>-10</v>
      </c>
      <c r="M105" s="3"/>
      <c r="N105" s="7">
        <f t="shared" si="23"/>
        <v>-1</v>
      </c>
      <c r="O105" s="12"/>
      <c r="P105" s="8">
        <v>77.17</v>
      </c>
      <c r="Q105" s="3"/>
      <c r="R105" s="7">
        <f t="shared" si="24"/>
        <v>2.7791579031988659E-5</v>
      </c>
      <c r="S105" s="3"/>
      <c r="T105" s="8">
        <v>160</v>
      </c>
      <c r="U105" s="3"/>
      <c r="V105" s="7">
        <f t="shared" si="25"/>
        <v>7.3188493305082579E-5</v>
      </c>
      <c r="W105" s="3"/>
      <c r="X105" s="8">
        <f t="shared" si="26"/>
        <v>-82.83</v>
      </c>
      <c r="Y105" s="3"/>
      <c r="Z105" s="7">
        <f t="shared" si="27"/>
        <v>-0.51768749999999997</v>
      </c>
    </row>
    <row r="106" spans="1:26" s="70" customFormat="1" ht="15" hidden="1" customHeight="1" outlineLevel="2" x14ac:dyDescent="0.3">
      <c r="A106" s="26"/>
      <c r="B106" s="12" t="str">
        <f>CONCATENATE("          ","6241"," - ","OFFICE EXPENSE")</f>
        <v xml:space="preserve">          6241 - OFFICE EXPENSE</v>
      </c>
      <c r="C106" s="12"/>
      <c r="D106" s="8">
        <v>473.25</v>
      </c>
      <c r="E106" s="3"/>
      <c r="F106" s="7">
        <f t="shared" ref="F106:F117" si="28">IF(D$12=0,0,D106/D$12)</f>
        <v>8.8924844235428421E-4</v>
      </c>
      <c r="G106" s="3"/>
      <c r="H106" s="8">
        <v>45</v>
      </c>
      <c r="I106" s="3"/>
      <c r="J106" s="7">
        <f t="shared" ref="J106:J117" si="29">IF(H$12=0,0,H106/H$12)</f>
        <v>1.8741566295167174E-4</v>
      </c>
      <c r="K106" s="3"/>
      <c r="L106" s="8">
        <f t="shared" ref="L106:L117" si="30">+D106-H106</f>
        <v>428.25</v>
      </c>
      <c r="M106" s="3"/>
      <c r="N106" s="7">
        <f t="shared" ref="N106:N117" si="31">IF(H106=0,0,L106/H106)</f>
        <v>9.5166666666666675</v>
      </c>
      <c r="O106" s="12"/>
      <c r="P106" s="8">
        <v>2023.27</v>
      </c>
      <c r="Q106" s="3"/>
      <c r="R106" s="7">
        <f t="shared" ref="R106:R117" si="32">IF(P$12=0,0,P106/P$12)</f>
        <v>7.2864932108399234E-4</v>
      </c>
      <c r="S106" s="3"/>
      <c r="T106" s="8">
        <v>360</v>
      </c>
      <c r="U106" s="3"/>
      <c r="V106" s="7">
        <f t="shared" ref="V106:V117" si="33">IF(T$12=0,0,T106/T$12)</f>
        <v>1.6467410993643578E-4</v>
      </c>
      <c r="W106" s="3"/>
      <c r="X106" s="8">
        <f t="shared" ref="X106:X117" si="34">+P106-T106</f>
        <v>1663.27</v>
      </c>
      <c r="Y106" s="3"/>
      <c r="Z106" s="7">
        <f t="shared" ref="Z106:Z117" si="35">IF(T106=0,0,X106/T106)</f>
        <v>4.6201944444444445</v>
      </c>
    </row>
    <row r="107" spans="1:26" s="70" customFormat="1" ht="15" hidden="1" customHeight="1" outlineLevel="2" x14ac:dyDescent="0.3">
      <c r="A107" s="26"/>
      <c r="B107" s="12" t="str">
        <f>CONCATENATE("          ","6245"," - ","PRINTING")</f>
        <v xml:space="preserve">          6245 - PRINTING</v>
      </c>
      <c r="C107" s="12"/>
      <c r="D107" s="8"/>
      <c r="E107" s="3"/>
      <c r="F107" s="7">
        <f t="shared" si="28"/>
        <v>0</v>
      </c>
      <c r="G107" s="3"/>
      <c r="H107" s="8"/>
      <c r="I107" s="3"/>
      <c r="J107" s="7">
        <f t="shared" si="29"/>
        <v>0</v>
      </c>
      <c r="K107" s="3"/>
      <c r="L107" s="8">
        <f t="shared" si="30"/>
        <v>0</v>
      </c>
      <c r="M107" s="3"/>
      <c r="N107" s="7">
        <f t="shared" si="31"/>
        <v>0</v>
      </c>
      <c r="O107" s="12"/>
      <c r="P107" s="8">
        <v>24.75</v>
      </c>
      <c r="Q107" s="3"/>
      <c r="R107" s="7">
        <f t="shared" si="32"/>
        <v>8.9133287681964397E-6</v>
      </c>
      <c r="S107" s="3"/>
      <c r="T107" s="8"/>
      <c r="U107" s="3"/>
      <c r="V107" s="7">
        <f t="shared" si="33"/>
        <v>0</v>
      </c>
      <c r="W107" s="3"/>
      <c r="X107" s="8">
        <f t="shared" si="34"/>
        <v>24.75</v>
      </c>
      <c r="Y107" s="3"/>
      <c r="Z107" s="7">
        <f t="shared" si="35"/>
        <v>0</v>
      </c>
    </row>
    <row r="108" spans="1:26" s="70" customFormat="1" ht="15" hidden="1" customHeight="1" outlineLevel="2" x14ac:dyDescent="0.3">
      <c r="A108" s="26"/>
      <c r="B108" s="12" t="str">
        <f>CONCATENATE("          ","6247"," - ","STORE SUPPLIES")</f>
        <v xml:space="preserve">          6247 - STORE SUPPLIES</v>
      </c>
      <c r="C108" s="12"/>
      <c r="D108" s="8"/>
      <c r="E108" s="3"/>
      <c r="F108" s="7">
        <f t="shared" si="28"/>
        <v>0</v>
      </c>
      <c r="G108" s="3"/>
      <c r="H108" s="8">
        <v>50</v>
      </c>
      <c r="I108" s="3"/>
      <c r="J108" s="7">
        <f t="shared" si="29"/>
        <v>2.0823962550185749E-4</v>
      </c>
      <c r="K108" s="3"/>
      <c r="L108" s="8">
        <f t="shared" si="30"/>
        <v>-50</v>
      </c>
      <c r="M108" s="3"/>
      <c r="N108" s="7">
        <f t="shared" si="31"/>
        <v>-1</v>
      </c>
      <c r="O108" s="12"/>
      <c r="P108" s="8">
        <v>7071.66</v>
      </c>
      <c r="Q108" s="3"/>
      <c r="R108" s="7">
        <f t="shared" si="32"/>
        <v>2.5467487077536987E-3</v>
      </c>
      <c r="S108" s="3"/>
      <c r="T108" s="8">
        <v>400</v>
      </c>
      <c r="U108" s="3"/>
      <c r="V108" s="7">
        <f t="shared" si="33"/>
        <v>1.8297123326270644E-4</v>
      </c>
      <c r="W108" s="3"/>
      <c r="X108" s="8">
        <f t="shared" si="34"/>
        <v>6671.66</v>
      </c>
      <c r="Y108" s="3"/>
      <c r="Z108" s="7">
        <f t="shared" si="35"/>
        <v>16.67915</v>
      </c>
    </row>
    <row r="109" spans="1:26" s="69" customFormat="1" ht="15" customHeight="1" outlineLevel="1" collapsed="1" x14ac:dyDescent="0.3">
      <c r="A109" s="25"/>
      <c r="B109" s="14" t="str">
        <f>CONCATENATE("     ","Telephone/Data Lines                              ")</f>
        <v xml:space="preserve">     Telephone/Data Lines                              </v>
      </c>
      <c r="C109" s="14"/>
      <c r="D109" s="2">
        <f>SUM(OSRRefD22_19x_0)</f>
        <v>546.14</v>
      </c>
      <c r="E109" s="2"/>
      <c r="F109" s="6">
        <f t="shared" si="28"/>
        <v>1.0262105532115558E-3</v>
      </c>
      <c r="G109" s="2"/>
      <c r="H109" s="2">
        <f>SUM(OSRRefH22_19x_0)</f>
        <v>550</v>
      </c>
      <c r="I109" s="2"/>
      <c r="J109" s="6">
        <f t="shared" si="29"/>
        <v>2.2906358805204327E-3</v>
      </c>
      <c r="K109" s="2"/>
      <c r="L109" s="2">
        <f t="shared" si="30"/>
        <v>-3.8600000000000136</v>
      </c>
      <c r="M109" s="2"/>
      <c r="N109" s="6">
        <f t="shared" si="31"/>
        <v>-7.0181818181818427E-3</v>
      </c>
      <c r="O109" s="14"/>
      <c r="P109" s="2">
        <f>SUM(OSRRefP22_19x_0)</f>
        <v>4141.92</v>
      </c>
      <c r="Q109" s="2"/>
      <c r="R109" s="6">
        <f t="shared" si="32"/>
        <v>1.491648270366392E-3</v>
      </c>
      <c r="S109" s="2"/>
      <c r="T109" s="2">
        <f>SUM(OSRRefT22_19x_0)</f>
        <v>4400</v>
      </c>
      <c r="U109" s="2"/>
      <c r="V109" s="6">
        <f t="shared" si="33"/>
        <v>2.0126835658897707E-3</v>
      </c>
      <c r="W109" s="2"/>
      <c r="X109" s="2">
        <f t="shared" si="34"/>
        <v>-258.07999999999993</v>
      </c>
      <c r="Y109" s="2"/>
      <c r="Z109" s="6">
        <f t="shared" si="35"/>
        <v>-5.8654545454545438E-2</v>
      </c>
    </row>
    <row r="110" spans="1:26" s="70" customFormat="1" ht="15" hidden="1" customHeight="1" outlineLevel="2" x14ac:dyDescent="0.3">
      <c r="A110" s="26"/>
      <c r="B110" s="12" t="str">
        <f>CONCATENATE("          ","6309"," - ","TELEPHONE")</f>
        <v xml:space="preserve">          6309 - TELEPHONE</v>
      </c>
      <c r="C110" s="12"/>
      <c r="D110" s="8">
        <v>546.14</v>
      </c>
      <c r="E110" s="3"/>
      <c r="F110" s="7">
        <f t="shared" si="28"/>
        <v>1.0262105532115558E-3</v>
      </c>
      <c r="G110" s="3"/>
      <c r="H110" s="8">
        <v>550</v>
      </c>
      <c r="I110" s="3"/>
      <c r="J110" s="7">
        <f t="shared" si="29"/>
        <v>2.2906358805204327E-3</v>
      </c>
      <c r="K110" s="3"/>
      <c r="L110" s="8">
        <f t="shared" si="30"/>
        <v>-3.8600000000000136</v>
      </c>
      <c r="M110" s="3"/>
      <c r="N110" s="7">
        <f t="shared" si="31"/>
        <v>-7.0181818181818427E-3</v>
      </c>
      <c r="O110" s="12"/>
      <c r="P110" s="8">
        <v>4141.92</v>
      </c>
      <c r="Q110" s="3"/>
      <c r="R110" s="7">
        <f t="shared" si="32"/>
        <v>1.491648270366392E-3</v>
      </c>
      <c r="S110" s="3"/>
      <c r="T110" s="8">
        <v>4400</v>
      </c>
      <c r="U110" s="3"/>
      <c r="V110" s="7">
        <f t="shared" si="33"/>
        <v>2.0126835658897707E-3</v>
      </c>
      <c r="W110" s="3"/>
      <c r="X110" s="8">
        <f t="shared" si="34"/>
        <v>-258.07999999999993</v>
      </c>
      <c r="Y110" s="3"/>
      <c r="Z110" s="7">
        <f t="shared" si="35"/>
        <v>-5.8654545454545438E-2</v>
      </c>
    </row>
    <row r="111" spans="1:26" s="69" customFormat="1" ht="15" customHeight="1" outlineLevel="1" collapsed="1" x14ac:dyDescent="0.3">
      <c r="A111" s="25"/>
      <c r="B111" s="14" t="str">
        <f>CONCATENATE("     ","Training                                          ")</f>
        <v xml:space="preserve">     Training                                          </v>
      </c>
      <c r="C111" s="14"/>
      <c r="D111" s="2">
        <f>SUM(OSRRefD22_20x_0)</f>
        <v>300</v>
      </c>
      <c r="E111" s="2"/>
      <c r="F111" s="6">
        <f t="shared" si="28"/>
        <v>5.6370741195200266E-4</v>
      </c>
      <c r="G111" s="2"/>
      <c r="H111" s="2">
        <f>SUM(OSRRefH22_20x_0)</f>
        <v>0</v>
      </c>
      <c r="I111" s="2"/>
      <c r="J111" s="6">
        <f t="shared" si="29"/>
        <v>0</v>
      </c>
      <c r="K111" s="2"/>
      <c r="L111" s="2">
        <f t="shared" si="30"/>
        <v>300</v>
      </c>
      <c r="M111" s="2"/>
      <c r="N111" s="6">
        <f t="shared" si="31"/>
        <v>0</v>
      </c>
      <c r="O111" s="14"/>
      <c r="P111" s="2">
        <f>SUM(OSRRefP22_20x_0)</f>
        <v>300</v>
      </c>
      <c r="Q111" s="2"/>
      <c r="R111" s="6">
        <f t="shared" si="32"/>
        <v>1.0804034870541139E-4</v>
      </c>
      <c r="S111" s="2"/>
      <c r="T111" s="2">
        <f>SUM(OSRRefT22_20x_0)</f>
        <v>0</v>
      </c>
      <c r="U111" s="2"/>
      <c r="V111" s="6">
        <f t="shared" si="33"/>
        <v>0</v>
      </c>
      <c r="W111" s="2"/>
      <c r="X111" s="2">
        <f t="shared" si="34"/>
        <v>300</v>
      </c>
      <c r="Y111" s="2"/>
      <c r="Z111" s="6">
        <f t="shared" si="35"/>
        <v>0</v>
      </c>
    </row>
    <row r="112" spans="1:26" s="70" customFormat="1" ht="15" hidden="1" customHeight="1" outlineLevel="2" x14ac:dyDescent="0.3">
      <c r="A112" s="26"/>
      <c r="B112" s="12" t="str">
        <f>CONCATENATE("          ","6376"," - ","TRAINING")</f>
        <v xml:space="preserve">          6376 - TRAINING</v>
      </c>
      <c r="C112" s="12"/>
      <c r="D112" s="8">
        <v>300</v>
      </c>
      <c r="E112" s="3"/>
      <c r="F112" s="7">
        <f t="shared" si="28"/>
        <v>5.6370741195200266E-4</v>
      </c>
      <c r="G112" s="3"/>
      <c r="H112" s="8"/>
      <c r="I112" s="3"/>
      <c r="J112" s="7">
        <f t="shared" si="29"/>
        <v>0</v>
      </c>
      <c r="K112" s="3"/>
      <c r="L112" s="8">
        <f t="shared" si="30"/>
        <v>300</v>
      </c>
      <c r="M112" s="3"/>
      <c r="N112" s="7">
        <f t="shared" si="31"/>
        <v>0</v>
      </c>
      <c r="O112" s="12"/>
      <c r="P112" s="8">
        <v>300</v>
      </c>
      <c r="Q112" s="3"/>
      <c r="R112" s="7">
        <f t="shared" si="32"/>
        <v>1.0804034870541139E-4</v>
      </c>
      <c r="S112" s="3"/>
      <c r="T112" s="8"/>
      <c r="U112" s="3"/>
      <c r="V112" s="7">
        <f t="shared" si="33"/>
        <v>0</v>
      </c>
      <c r="W112" s="3"/>
      <c r="X112" s="8">
        <f t="shared" si="34"/>
        <v>300</v>
      </c>
      <c r="Y112" s="3"/>
      <c r="Z112" s="7">
        <f t="shared" si="35"/>
        <v>0</v>
      </c>
    </row>
    <row r="113" spans="1:26" s="69" customFormat="1" ht="15" customHeight="1" outlineLevel="1" collapsed="1" x14ac:dyDescent="0.3">
      <c r="A113" s="25"/>
      <c r="B113" s="14" t="str">
        <f>CONCATENATE("     ","Travel                                            ")</f>
        <v xml:space="preserve">     Travel                                            </v>
      </c>
      <c r="C113" s="14"/>
      <c r="D113" s="2">
        <f>SUM(OSRRefD22_21x_0)</f>
        <v>116.74</v>
      </c>
      <c r="E113" s="2"/>
      <c r="F113" s="6">
        <f t="shared" si="28"/>
        <v>2.193573442375893E-4</v>
      </c>
      <c r="G113" s="2"/>
      <c r="H113" s="2">
        <f>SUM(OSRRefH22_21x_0)</f>
        <v>50</v>
      </c>
      <c r="I113" s="2"/>
      <c r="J113" s="6">
        <f t="shared" si="29"/>
        <v>2.0823962550185749E-4</v>
      </c>
      <c r="K113" s="2"/>
      <c r="L113" s="2">
        <f t="shared" si="30"/>
        <v>66.739999999999995</v>
      </c>
      <c r="M113" s="2"/>
      <c r="N113" s="6">
        <f t="shared" si="31"/>
        <v>1.3348</v>
      </c>
      <c r="O113" s="14"/>
      <c r="P113" s="2">
        <f>SUM(OSRRefP22_21x_0)</f>
        <v>356.67</v>
      </c>
      <c r="Q113" s="2"/>
      <c r="R113" s="6">
        <f t="shared" si="32"/>
        <v>1.2844917057586362E-4</v>
      </c>
      <c r="S113" s="2"/>
      <c r="T113" s="2">
        <f>SUM(OSRRefT22_21x_0)</f>
        <v>650</v>
      </c>
      <c r="U113" s="2"/>
      <c r="V113" s="6">
        <f t="shared" si="33"/>
        <v>2.9732825405189798E-4</v>
      </c>
      <c r="W113" s="2"/>
      <c r="X113" s="2">
        <f t="shared" si="34"/>
        <v>-293.33</v>
      </c>
      <c r="Y113" s="2"/>
      <c r="Z113" s="6">
        <f t="shared" si="35"/>
        <v>-0.45127692307692308</v>
      </c>
    </row>
    <row r="114" spans="1:26" s="70" customFormat="1" ht="15" hidden="1" customHeight="1" outlineLevel="2" x14ac:dyDescent="0.3">
      <c r="A114" s="26"/>
      <c r="B114" s="12" t="str">
        <f>CONCATENATE("          ","6294"," - ","TRAVEL OPERATIONAL")</f>
        <v xml:space="preserve">          6294 - TRAVEL OPERATIONAL</v>
      </c>
      <c r="C114" s="12"/>
      <c r="D114" s="8">
        <v>116.74</v>
      </c>
      <c r="E114" s="3"/>
      <c r="F114" s="7">
        <f t="shared" si="28"/>
        <v>2.193573442375893E-4</v>
      </c>
      <c r="G114" s="3"/>
      <c r="H114" s="8">
        <v>25</v>
      </c>
      <c r="I114" s="3"/>
      <c r="J114" s="7">
        <f t="shared" si="29"/>
        <v>1.0411981275092874E-4</v>
      </c>
      <c r="K114" s="3"/>
      <c r="L114" s="8">
        <f t="shared" si="30"/>
        <v>91.74</v>
      </c>
      <c r="M114" s="3"/>
      <c r="N114" s="7">
        <f t="shared" si="31"/>
        <v>3.6696</v>
      </c>
      <c r="O114" s="12"/>
      <c r="P114" s="8">
        <v>356.67</v>
      </c>
      <c r="Q114" s="3"/>
      <c r="R114" s="7">
        <f t="shared" si="32"/>
        <v>1.2844917057586362E-4</v>
      </c>
      <c r="S114" s="3"/>
      <c r="T114" s="8">
        <v>200</v>
      </c>
      <c r="U114" s="3"/>
      <c r="V114" s="7">
        <f t="shared" si="33"/>
        <v>9.148561663135322E-5</v>
      </c>
      <c r="W114" s="3"/>
      <c r="X114" s="8">
        <f t="shared" si="34"/>
        <v>156.67000000000002</v>
      </c>
      <c r="Y114" s="3"/>
      <c r="Z114" s="7">
        <f t="shared" si="35"/>
        <v>0.7833500000000001</v>
      </c>
    </row>
    <row r="115" spans="1:26" s="70" customFormat="1" ht="15" hidden="1" customHeight="1" outlineLevel="2" x14ac:dyDescent="0.3">
      <c r="A115" s="26"/>
      <c r="B115" s="12" t="str">
        <f>CONCATENATE("          ","6298"," - ","VEHICLE MILEAGE")</f>
        <v xml:space="preserve">          6298 - VEHICLE MILEAGE</v>
      </c>
      <c r="C115" s="12"/>
      <c r="D115" s="8"/>
      <c r="E115" s="3"/>
      <c r="F115" s="7">
        <f t="shared" si="28"/>
        <v>0</v>
      </c>
      <c r="G115" s="3"/>
      <c r="H115" s="8">
        <v>25</v>
      </c>
      <c r="I115" s="3"/>
      <c r="J115" s="7">
        <f t="shared" si="29"/>
        <v>1.0411981275092874E-4</v>
      </c>
      <c r="K115" s="3"/>
      <c r="L115" s="8">
        <f t="shared" si="30"/>
        <v>-25</v>
      </c>
      <c r="M115" s="3"/>
      <c r="N115" s="7">
        <f t="shared" si="31"/>
        <v>-1</v>
      </c>
      <c r="O115" s="12"/>
      <c r="P115" s="8"/>
      <c r="Q115" s="3"/>
      <c r="R115" s="7">
        <f t="shared" si="32"/>
        <v>0</v>
      </c>
      <c r="S115" s="3"/>
      <c r="T115" s="8">
        <v>450</v>
      </c>
      <c r="U115" s="3"/>
      <c r="V115" s="7">
        <f t="shared" si="33"/>
        <v>2.0584263742054473E-4</v>
      </c>
      <c r="W115" s="3"/>
      <c r="X115" s="8">
        <f t="shared" si="34"/>
        <v>-450</v>
      </c>
      <c r="Y115" s="3"/>
      <c r="Z115" s="7">
        <f t="shared" si="35"/>
        <v>-1</v>
      </c>
    </row>
    <row r="116" spans="1:26" s="69" customFormat="1" ht="15" customHeight="1" outlineLevel="1" collapsed="1" x14ac:dyDescent="0.3">
      <c r="A116" s="25"/>
      <c r="B116" s="14" t="str">
        <f>CONCATENATE("     ","Utilities                                         ")</f>
        <v xml:space="preserve">     Utilities                                         </v>
      </c>
      <c r="C116" s="14"/>
      <c r="D116" s="2">
        <f>SUM(OSRRefD22_22x_0)</f>
        <v>355.65</v>
      </c>
      <c r="E116" s="2"/>
      <c r="F116" s="6">
        <f t="shared" si="28"/>
        <v>6.6827513686909914E-4</v>
      </c>
      <c r="G116" s="2"/>
      <c r="H116" s="2">
        <f>SUM(OSRRefH22_22x_0)</f>
        <v>2800</v>
      </c>
      <c r="I116" s="2"/>
      <c r="J116" s="6">
        <f t="shared" si="29"/>
        <v>1.166141902810402E-2</v>
      </c>
      <c r="K116" s="2"/>
      <c r="L116" s="2">
        <f t="shared" si="30"/>
        <v>-2444.35</v>
      </c>
      <c r="M116" s="2"/>
      <c r="N116" s="6">
        <f t="shared" si="31"/>
        <v>-0.87298214285714282</v>
      </c>
      <c r="O116" s="14"/>
      <c r="P116" s="2">
        <f>SUM(OSRRefP22_22x_0)</f>
        <v>895.07</v>
      </c>
      <c r="Q116" s="2"/>
      <c r="R116" s="6">
        <f t="shared" si="32"/>
        <v>3.2234558305250859E-4</v>
      </c>
      <c r="S116" s="2"/>
      <c r="T116" s="2">
        <f>SUM(OSRRefT22_22x_0)</f>
        <v>3640</v>
      </c>
      <c r="U116" s="2"/>
      <c r="V116" s="6">
        <f t="shared" si="33"/>
        <v>1.6650382226906285E-3</v>
      </c>
      <c r="W116" s="2"/>
      <c r="X116" s="2">
        <f t="shared" si="34"/>
        <v>-2744.93</v>
      </c>
      <c r="Y116" s="2"/>
      <c r="Z116" s="6">
        <f t="shared" si="35"/>
        <v>-0.75410164835164828</v>
      </c>
    </row>
    <row r="117" spans="1:26" s="70" customFormat="1" ht="15" hidden="1" customHeight="1" outlineLevel="2" x14ac:dyDescent="0.3">
      <c r="A117" s="26"/>
      <c r="B117" s="12" t="str">
        <f>CONCATENATE("          ","6274"," - ","UTILITIES")</f>
        <v xml:space="preserve">          6274 - UTILITIES</v>
      </c>
      <c r="C117" s="12"/>
      <c r="D117" s="8">
        <v>355.65</v>
      </c>
      <c r="E117" s="3"/>
      <c r="F117" s="7">
        <f t="shared" si="28"/>
        <v>6.6827513686909914E-4</v>
      </c>
      <c r="G117" s="3"/>
      <c r="H117" s="8">
        <v>2800</v>
      </c>
      <c r="I117" s="3"/>
      <c r="J117" s="7">
        <f t="shared" si="29"/>
        <v>1.166141902810402E-2</v>
      </c>
      <c r="K117" s="3"/>
      <c r="L117" s="8">
        <f t="shared" si="30"/>
        <v>-2444.35</v>
      </c>
      <c r="M117" s="3"/>
      <c r="N117" s="7">
        <f t="shared" si="31"/>
        <v>-0.87298214285714282</v>
      </c>
      <c r="O117" s="12"/>
      <c r="P117" s="8">
        <v>895.07</v>
      </c>
      <c r="Q117" s="3"/>
      <c r="R117" s="7">
        <f t="shared" si="32"/>
        <v>3.2234558305250859E-4</v>
      </c>
      <c r="S117" s="3"/>
      <c r="T117" s="8">
        <v>3640</v>
      </c>
      <c r="U117" s="3"/>
      <c r="V117" s="7">
        <f t="shared" si="33"/>
        <v>1.6650382226906285E-3</v>
      </c>
      <c r="W117" s="3"/>
      <c r="X117" s="8">
        <f t="shared" si="34"/>
        <v>-2744.93</v>
      </c>
      <c r="Y117" s="3"/>
      <c r="Z117" s="7">
        <f t="shared" si="35"/>
        <v>-0.75410164835164828</v>
      </c>
    </row>
    <row r="118" spans="1:26" s="65" customFormat="1" ht="15" customHeight="1" x14ac:dyDescent="0.3">
      <c r="A118" s="35"/>
      <c r="B118" s="35"/>
      <c r="C118" s="35"/>
      <c r="D118" s="2"/>
      <c r="E118" s="2"/>
      <c r="F118" s="6"/>
      <c r="G118" s="2"/>
      <c r="H118" s="2"/>
      <c r="I118" s="2"/>
      <c r="J118" s="6"/>
      <c r="K118" s="2"/>
      <c r="L118" s="2"/>
      <c r="M118" s="2"/>
      <c r="N118" s="6"/>
      <c r="O118" s="35"/>
      <c r="P118" s="2"/>
      <c r="Q118" s="2"/>
      <c r="R118" s="6"/>
      <c r="S118" s="2"/>
      <c r="T118" s="2"/>
      <c r="U118" s="2"/>
      <c r="V118" s="6"/>
      <c r="W118" s="2"/>
      <c r="X118" s="2"/>
      <c r="Y118" s="2"/>
      <c r="Z118" s="6"/>
    </row>
    <row r="119" spans="1:26" s="63" customFormat="1" ht="15" customHeight="1" collapsed="1" x14ac:dyDescent="0.3">
      <c r="A119" s="11"/>
      <c r="B119" s="27" t="s">
        <v>291</v>
      </c>
      <c r="C119" s="11"/>
      <c r="D119" s="5">
        <f>SUM(OSRRefD25x_0)</f>
        <v>145</v>
      </c>
      <c r="E119" s="5"/>
      <c r="F119" s="13">
        <f>IF(D$12=0,0,D119/D$12)</f>
        <v>2.7245858244346797E-4</v>
      </c>
      <c r="G119" s="5"/>
      <c r="H119" s="5">
        <f>SUM(OSRRefH25x_0)</f>
        <v>0</v>
      </c>
      <c r="I119" s="5"/>
      <c r="J119" s="13">
        <f>IF(H$12=0,0,H119/H$12)</f>
        <v>0</v>
      </c>
      <c r="K119" s="5"/>
      <c r="L119" s="5">
        <f>+D119-H119</f>
        <v>145</v>
      </c>
      <c r="M119" s="5"/>
      <c r="N119" s="13">
        <f>IF(H119=0,0,L119/H119)</f>
        <v>0</v>
      </c>
      <c r="O119" s="11"/>
      <c r="P119" s="5">
        <f>SUM(OSRRefP25x_0)</f>
        <v>158647.37</v>
      </c>
      <c r="Q119" s="5"/>
      <c r="R119" s="13">
        <f>IF(P$12=0,0,P119/P$12)</f>
        <v>5.7134390586654739E-2</v>
      </c>
      <c r="S119" s="5"/>
      <c r="T119" s="5">
        <f>SUM(OSRRefT25x_0)</f>
        <v>106228</v>
      </c>
      <c r="U119" s="5"/>
      <c r="V119" s="13">
        <f>IF(T$12=0,0,T119/T$12)</f>
        <v>4.8591670417576949E-2</v>
      </c>
      <c r="W119" s="5"/>
      <c r="X119" s="5">
        <f>+P119-T119</f>
        <v>52419.369999999995</v>
      </c>
      <c r="Y119" s="5"/>
      <c r="Z119" s="13">
        <f>IF(T119=0,0,X119/T119)</f>
        <v>0.49346095191474937</v>
      </c>
    </row>
    <row r="120" spans="1:26" s="70" customFormat="1" ht="15" hidden="1" customHeight="1" outlineLevel="1" x14ac:dyDescent="0.3">
      <c r="A120" s="42"/>
      <c r="B120" s="12" t="str">
        <f>CONCATENATE("          ","9150"," - ","MISC. INCOME")</f>
        <v xml:space="preserve">          9150 - MISC. INCOME</v>
      </c>
      <c r="C120" s="12"/>
      <c r="D120" s="3">
        <f>--145</f>
        <v>145</v>
      </c>
      <c r="E120" s="3"/>
      <c r="F120" s="20">
        <f>IF(D$12=0,0,D120/D$12)</f>
        <v>2.7245858244346797E-4</v>
      </c>
      <c r="G120" s="3"/>
      <c r="H120" s="3">
        <v>0</v>
      </c>
      <c r="I120" s="3"/>
      <c r="J120" s="20">
        <f>IF(H$12=0,0,H120/H$12)</f>
        <v>0</v>
      </c>
      <c r="K120" s="3"/>
      <c r="L120" s="3">
        <f>+D120-H120</f>
        <v>145</v>
      </c>
      <c r="M120" s="3"/>
      <c r="N120" s="20">
        <f>IF(H120=0,0,L120/H120)</f>
        <v>0</v>
      </c>
      <c r="O120" s="12"/>
      <c r="P120" s="3">
        <f>--78871.67</f>
        <v>78871.67</v>
      </c>
      <c r="Q120" s="3"/>
      <c r="R120" s="20">
        <f>IF(P$12=0,0,P120/P$12)</f>
        <v>2.8404409099260449E-2</v>
      </c>
      <c r="S120" s="3"/>
      <c r="T120" s="3">
        <v>47895</v>
      </c>
      <c r="U120" s="3"/>
      <c r="V120" s="20">
        <f>IF(T$12=0,0,T120/T$12)</f>
        <v>2.1908518042793312E-2</v>
      </c>
      <c r="W120" s="3"/>
      <c r="X120" s="3">
        <f>+P120-T120</f>
        <v>30976.67</v>
      </c>
      <c r="Y120" s="3"/>
      <c r="Z120" s="20">
        <f>IF(T120=0,0,X120/T120)</f>
        <v>0.6467620837248147</v>
      </c>
    </row>
    <row r="121" spans="1:26" s="70" customFormat="1" ht="15" hidden="1" customHeight="1" outlineLevel="1" x14ac:dyDescent="0.3">
      <c r="A121" s="42"/>
      <c r="B121" s="12" t="str">
        <f>CONCATENATE("          ","9160"," - ","MISC. INCOME")</f>
        <v xml:space="preserve">          9160 - MISC. INCOME</v>
      </c>
      <c r="C121" s="12"/>
      <c r="D121" s="3">
        <f>0</f>
        <v>0</v>
      </c>
      <c r="E121" s="3"/>
      <c r="F121" s="20">
        <f>IF(D$12=0,0,D121/D$12)</f>
        <v>0</v>
      </c>
      <c r="G121" s="3"/>
      <c r="H121" s="3"/>
      <c r="I121" s="3"/>
      <c r="J121" s="20">
        <f>IF(H$12=0,0,H121/H$12)</f>
        <v>0</v>
      </c>
      <c r="K121" s="3"/>
      <c r="L121" s="3">
        <f>+D121-H121</f>
        <v>0</v>
      </c>
      <c r="M121" s="3"/>
      <c r="N121" s="20">
        <f>IF(H121=0,0,L121/H121)</f>
        <v>0</v>
      </c>
      <c r="O121" s="12"/>
      <c r="P121" s="3">
        <f>0</f>
        <v>0</v>
      </c>
      <c r="Q121" s="3"/>
      <c r="R121" s="20">
        <f>IF(P$12=0,0,P121/P$12)</f>
        <v>0</v>
      </c>
      <c r="S121" s="3"/>
      <c r="T121" s="3">
        <v>58333</v>
      </c>
      <c r="U121" s="3"/>
      <c r="V121" s="20">
        <f>IF(T$12=0,0,T121/T$12)</f>
        <v>2.6683152374783636E-2</v>
      </c>
      <c r="W121" s="3"/>
      <c r="X121" s="3">
        <f>+P121-T121</f>
        <v>-58333</v>
      </c>
      <c r="Y121" s="3"/>
      <c r="Z121" s="20">
        <f>IF(T121=0,0,X121/T121)</f>
        <v>-1</v>
      </c>
    </row>
    <row r="122" spans="1:26" s="70" customFormat="1" ht="15" hidden="1" customHeight="1" outlineLevel="1" x14ac:dyDescent="0.3">
      <c r="A122" s="42"/>
      <c r="B122" s="12" t="str">
        <f>CONCATENATE("          ","9163"," - ","MISC. INCOME")</f>
        <v xml:space="preserve">          9163 - MISC. INCOME</v>
      </c>
      <c r="C122" s="12"/>
      <c r="D122" s="3">
        <f>0</f>
        <v>0</v>
      </c>
      <c r="E122" s="3"/>
      <c r="F122" s="20">
        <f>IF(D$12=0,0,D122/D$12)</f>
        <v>0</v>
      </c>
      <c r="G122" s="3"/>
      <c r="H122" s="3"/>
      <c r="I122" s="3"/>
      <c r="J122" s="20">
        <f>IF(H$12=0,0,H122/H$12)</f>
        <v>0</v>
      </c>
      <c r="K122" s="3"/>
      <c r="L122" s="3">
        <f>+D122-H122</f>
        <v>0</v>
      </c>
      <c r="M122" s="3"/>
      <c r="N122" s="20">
        <f>IF(H122=0,0,L122/H122)</f>
        <v>0</v>
      </c>
      <c r="O122" s="12"/>
      <c r="P122" s="3">
        <f>--79775.7</f>
        <v>79775.7</v>
      </c>
      <c r="Q122" s="3"/>
      <c r="R122" s="20">
        <f>IF(P$12=0,0,P122/P$12)</f>
        <v>2.8729981487394293E-2</v>
      </c>
      <c r="S122" s="3"/>
      <c r="T122" s="3"/>
      <c r="U122" s="3"/>
      <c r="V122" s="20">
        <f>IF(T$12=0,0,T122/T$12)</f>
        <v>0</v>
      </c>
      <c r="W122" s="3"/>
      <c r="X122" s="3">
        <f>+P122-T122</f>
        <v>79775.7</v>
      </c>
      <c r="Y122" s="3"/>
      <c r="Z122" s="20">
        <f>IF(T122=0,0,X122/T122)</f>
        <v>0</v>
      </c>
    </row>
    <row r="123" spans="1:26" ht="15" customHeight="1" x14ac:dyDescent="0.3">
      <c r="A123" s="10"/>
      <c r="B123" s="11"/>
      <c r="C123" s="11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O123" s="11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3" customFormat="1" ht="15" customHeight="1" x14ac:dyDescent="0.3">
      <c r="A124" s="11"/>
      <c r="B124" s="28" t="s">
        <v>292</v>
      </c>
      <c r="C124" s="28"/>
      <c r="D124" s="21">
        <f>+D40-D42+D119</f>
        <v>181407.76999999996</v>
      </c>
      <c r="E124" s="15"/>
      <c r="F124" s="22">
        <f>IF(D$12=0,0,D124/D$12)</f>
        <v>0.34086968178228044</v>
      </c>
      <c r="G124" s="15"/>
      <c r="H124" s="21">
        <f>+H40-H42+H119</f>
        <v>18289.897258107667</v>
      </c>
      <c r="I124" s="15"/>
      <c r="J124" s="22">
        <f>IF(H$12=0,0,H124/H$12)</f>
        <v>7.617362710991582E-2</v>
      </c>
      <c r="K124" s="16"/>
      <c r="L124" s="21">
        <f>+D124-H124</f>
        <v>163117.87274189229</v>
      </c>
      <c r="M124" s="16"/>
      <c r="N124" s="22">
        <f>IF(H124=0,0,L124/H124)</f>
        <v>8.9184685096896494</v>
      </c>
      <c r="O124" s="27"/>
      <c r="P124" s="21">
        <f>+P40-P42+P119</f>
        <v>800702.5699999996</v>
      </c>
      <c r="Q124" s="15"/>
      <c r="R124" s="22">
        <f>IF(P$12=0,0,P124/P$12)</f>
        <v>0.28836061624039677</v>
      </c>
      <c r="S124" s="15"/>
      <c r="T124" s="21">
        <f>+T40-T42+T119</f>
        <v>307721.03509824234</v>
      </c>
      <c r="U124" s="15"/>
      <c r="V124" s="22">
        <f>IF(T$12=0,0,T124/T$12)</f>
        <v>0.14076024323200492</v>
      </c>
      <c r="W124" s="16"/>
      <c r="X124" s="21">
        <f>+P124-T124</f>
        <v>492981.53490175726</v>
      </c>
      <c r="Y124" s="16"/>
      <c r="Z124" s="22">
        <f>IF(T124=0,0,X124/T124)</f>
        <v>1.6020404154183645</v>
      </c>
    </row>
    <row r="125" spans="1:26" ht="15" customHeight="1" x14ac:dyDescent="0.3">
      <c r="A125" s="10"/>
      <c r="B125" s="11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3" customFormat="1" ht="15" customHeight="1" x14ac:dyDescent="0.3">
      <c r="A126" s="49"/>
      <c r="B126" s="11" t="s">
        <v>293</v>
      </c>
      <c r="C126" s="11"/>
      <c r="D126" s="5">
        <v>49495.11</v>
      </c>
      <c r="E126" s="5"/>
      <c r="F126" s="13">
        <f>IF(D$12=0,0,D126/D$12)</f>
        <v>9.3002534541265627E-2</v>
      </c>
      <c r="G126" s="5"/>
      <c r="H126" s="5">
        <v>23419</v>
      </c>
      <c r="I126" s="5"/>
      <c r="J126" s="13">
        <f>IF(H$12=0,0,H126/H$12)</f>
        <v>9.7535275792560008E-2</v>
      </c>
      <c r="K126" s="5"/>
      <c r="L126" s="5">
        <f>+D126-H126</f>
        <v>26076.11</v>
      </c>
      <c r="M126" s="5"/>
      <c r="N126" s="13">
        <f>IF(H126=0,0,L126/H126)</f>
        <v>1.1134595840983816</v>
      </c>
      <c r="O126" s="11"/>
      <c r="P126" s="5">
        <v>346600.25</v>
      </c>
      <c r="Q126" s="5"/>
      <c r="R126" s="13">
        <f>IF(P$12=0,0,P126/P$12)</f>
        <v>0.12482270623794256</v>
      </c>
      <c r="S126" s="5"/>
      <c r="T126" s="5">
        <v>267250</v>
      </c>
      <c r="U126" s="5"/>
      <c r="V126" s="13">
        <f>IF(T$12=0,0,T126/T$12)</f>
        <v>0.12224765522364574</v>
      </c>
      <c r="W126" s="5"/>
      <c r="X126" s="5">
        <f>+P126-T126</f>
        <v>79350.25</v>
      </c>
      <c r="Y126" s="5"/>
      <c r="Z126" s="13">
        <f>IF(T126=0,0,X126/T126)</f>
        <v>0.29691393826005613</v>
      </c>
    </row>
    <row r="127" spans="1:26" ht="15" customHeight="1" x14ac:dyDescent="0.3">
      <c r="A127" s="10"/>
      <c r="B127" s="11"/>
      <c r="C127" s="11"/>
      <c r="D127" s="4"/>
      <c r="E127" s="4"/>
      <c r="F127" s="9"/>
      <c r="G127" s="4"/>
      <c r="H127" s="4"/>
      <c r="I127" s="4"/>
      <c r="J127" s="9"/>
      <c r="K127" s="4"/>
      <c r="L127" s="4"/>
      <c r="M127" s="4"/>
      <c r="N127" s="9"/>
      <c r="O127" s="11"/>
      <c r="P127" s="4"/>
      <c r="Q127" s="4"/>
      <c r="R127" s="9"/>
      <c r="S127" s="4"/>
      <c r="T127" s="4"/>
      <c r="U127" s="4"/>
      <c r="V127" s="9"/>
      <c r="W127" s="4"/>
      <c r="X127" s="4"/>
      <c r="Y127" s="4"/>
      <c r="Z127" s="9"/>
    </row>
    <row r="128" spans="1:26" s="63" customFormat="1" ht="15" customHeight="1" x14ac:dyDescent="0.3">
      <c r="A128" s="11"/>
      <c r="B128" s="28" t="s">
        <v>294</v>
      </c>
      <c r="C128" s="28"/>
      <c r="D128" s="33">
        <f>+D124-D126</f>
        <v>131912.65999999997</v>
      </c>
      <c r="E128" s="15"/>
      <c r="F128" s="32">
        <f>IF(D$12=0,0,D128/D$12)</f>
        <v>0.24786714724101483</v>
      </c>
      <c r="G128" s="15"/>
      <c r="H128" s="33">
        <f>+H124-H126</f>
        <v>-5129.1027418923331</v>
      </c>
      <c r="I128" s="15"/>
      <c r="J128" s="32">
        <f>IF(H$12=0,0,H128/H$12)</f>
        <v>-2.1361648682644199E-2</v>
      </c>
      <c r="K128" s="16"/>
      <c r="L128" s="33">
        <f>D128-H128</f>
        <v>137041.76274189231</v>
      </c>
      <c r="M128" s="16"/>
      <c r="N128" s="32">
        <f>IF(H128=0,0,L128/H128)</f>
        <v>-26.718467076627924</v>
      </c>
      <c r="O128" s="27"/>
      <c r="P128" s="33">
        <f>+P124-P126</f>
        <v>454102.3199999996</v>
      </c>
      <c r="Q128" s="15"/>
      <c r="R128" s="32">
        <f>IF(P$12=0,0,P128/P$12)</f>
        <v>0.16353791000245424</v>
      </c>
      <c r="S128" s="15"/>
      <c r="T128" s="33">
        <f>+T124-T126</f>
        <v>40471.035098242341</v>
      </c>
      <c r="U128" s="15"/>
      <c r="V128" s="32">
        <f>IF(T$12=0,0,T128/T$12)</f>
        <v>1.8512588008359195E-2</v>
      </c>
      <c r="W128" s="16"/>
      <c r="X128" s="33">
        <f>P128-T128</f>
        <v>413631.28490175726</v>
      </c>
      <c r="Y128" s="16"/>
      <c r="Z128" s="32">
        <f>IF(T128=0,0,X128/T128)</f>
        <v>10.22042761934995</v>
      </c>
    </row>
    <row r="129" spans="1:26" ht="15" customHeight="1" x14ac:dyDescent="0.3">
      <c r="A129" s="10"/>
      <c r="B129" s="10"/>
      <c r="C129" s="10"/>
      <c r="D129" s="4"/>
      <c r="E129" s="4"/>
      <c r="F129" s="9"/>
      <c r="G129" s="4"/>
      <c r="H129" s="4"/>
      <c r="I129" s="4"/>
      <c r="J129" s="9"/>
      <c r="K129" s="4"/>
      <c r="L129" s="4"/>
      <c r="M129" s="4"/>
      <c r="N129" s="9"/>
      <c r="P129" s="4"/>
      <c r="Q129" s="4"/>
      <c r="R129" s="9"/>
      <c r="S129" s="4"/>
      <c r="T129" s="4"/>
      <c r="U129" s="4"/>
      <c r="V129" s="9"/>
      <c r="W129" s="4"/>
      <c r="X129" s="4"/>
      <c r="Y129" s="4"/>
      <c r="Z129" s="9"/>
    </row>
    <row r="130" spans="1:26" ht="15" customHeight="1" x14ac:dyDescent="0.3">
      <c r="A130" s="10"/>
      <c r="B130" s="10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3" customFormat="1" ht="15" customHeight="1" x14ac:dyDescent="0.3">
      <c r="A131" s="11"/>
      <c r="B131" s="28" t="s">
        <v>297</v>
      </c>
      <c r="C131" s="28"/>
      <c r="D131" s="34">
        <f>SUM(D128:D130)</f>
        <v>131912.65999999997</v>
      </c>
      <c r="E131" s="15"/>
      <c r="F131" s="30">
        <f>IF(D$12=0,0,D131/D$12)</f>
        <v>0.24786714724101483</v>
      </c>
      <c r="G131" s="15"/>
      <c r="H131" s="34">
        <f>SUM(H128:H130)</f>
        <v>-5129.1027418923331</v>
      </c>
      <c r="I131" s="15"/>
      <c r="J131" s="30">
        <f>IF(H$12=0,0,H131/H$12)</f>
        <v>-2.1361648682644199E-2</v>
      </c>
      <c r="K131" s="16"/>
      <c r="L131" s="34">
        <f>+D131-H131</f>
        <v>137041.76274189231</v>
      </c>
      <c r="M131" s="16"/>
      <c r="N131" s="30">
        <f>IF(H131=0,0,L131/H131)</f>
        <v>-26.718467076627924</v>
      </c>
      <c r="O131" s="27"/>
      <c r="P131" s="34">
        <f>SUM(P128:P130)</f>
        <v>454102.3199999996</v>
      </c>
      <c r="Q131" s="15"/>
      <c r="R131" s="30">
        <f>IF(P$12=0,0,P131/P$12)</f>
        <v>0.16353791000245424</v>
      </c>
      <c r="S131" s="15"/>
      <c r="T131" s="34">
        <f>SUM(T128:T130)</f>
        <v>40471.035098242341</v>
      </c>
      <c r="U131" s="15"/>
      <c r="V131" s="30">
        <f>IF(T$12=0,0,T131/T$12)</f>
        <v>1.8512588008359195E-2</v>
      </c>
      <c r="W131" s="16"/>
      <c r="X131" s="34">
        <f>+P131-T131</f>
        <v>413631.28490175726</v>
      </c>
      <c r="Y131" s="16"/>
      <c r="Z131" s="30">
        <f>IF(T131=0,0,X131/T131)</f>
        <v>10.22042761934995</v>
      </c>
    </row>
    <row r="132" spans="1:26" ht="15" customHeight="1" x14ac:dyDescent="0.3">
      <c r="A132" s="10"/>
      <c r="C132" s="10"/>
      <c r="D132" s="19"/>
      <c r="E132" s="19"/>
      <c r="G132" s="19"/>
      <c r="H132" s="19"/>
      <c r="I132" s="19"/>
      <c r="J132" s="41"/>
      <c r="K132" s="19"/>
      <c r="L132" s="19"/>
      <c r="M132" s="19"/>
      <c r="P132" s="19"/>
      <c r="Q132" s="19"/>
      <c r="R132" s="41"/>
      <c r="S132" s="19"/>
      <c r="T132" s="19"/>
      <c r="U132" s="19"/>
      <c r="V132" s="41"/>
      <c r="W132" s="19"/>
      <c r="X132" s="19"/>
    </row>
    <row r="133" spans="1:26" ht="15" customHeight="1" x14ac:dyDescent="0.3">
      <c r="A133" s="10"/>
      <c r="B133" s="57">
        <v>44634.88338028935</v>
      </c>
      <c r="D133" s="19"/>
      <c r="E133" s="19"/>
      <c r="G133" s="19"/>
      <c r="H133" s="19"/>
      <c r="I133" s="19"/>
      <c r="J133" s="41"/>
      <c r="K133" s="19"/>
      <c r="L133" s="19"/>
      <c r="M133" s="19"/>
      <c r="P133" s="19"/>
      <c r="Q133" s="19"/>
      <c r="R133" s="41"/>
      <c r="S133" s="19"/>
      <c r="T133" s="19"/>
      <c r="U133" s="19"/>
      <c r="V133" s="41"/>
      <c r="W133" s="19"/>
      <c r="X133" s="19"/>
    </row>
    <row r="134" spans="1:26" ht="15" customHeight="1" x14ac:dyDescent="0.3">
      <c r="A134" s="10"/>
      <c r="B134" s="56" t="s">
        <v>298</v>
      </c>
      <c r="D134" s="19"/>
      <c r="E134" s="19"/>
      <c r="G134" s="19"/>
      <c r="H134" s="19"/>
      <c r="I134" s="19"/>
      <c r="J134" s="41"/>
      <c r="K134" s="19"/>
      <c r="L134" s="19"/>
      <c r="M134" s="19"/>
      <c r="P134" s="19"/>
      <c r="Q134" s="19"/>
      <c r="R134" s="41"/>
      <c r="S134" s="19"/>
      <c r="T134" s="19"/>
      <c r="U134" s="19"/>
      <c r="V134" s="41"/>
      <c r="W134" s="19"/>
      <c r="X134" s="19"/>
    </row>
    <row r="135" spans="1:26" ht="15" customHeight="1" x14ac:dyDescent="0.3">
      <c r="A135" s="10"/>
      <c r="B135" s="54"/>
      <c r="D135" s="19"/>
      <c r="E135" s="19"/>
      <c r="G135" s="19"/>
      <c r="H135" s="19"/>
      <c r="I135" s="19"/>
      <c r="J135" s="41"/>
      <c r="K135" s="19"/>
      <c r="L135" s="19"/>
      <c r="M135" s="19"/>
      <c r="P135" s="19"/>
      <c r="Q135" s="19"/>
      <c r="R135" s="41"/>
      <c r="S135" s="19"/>
      <c r="T135" s="19"/>
      <c r="U135" s="19"/>
      <c r="V135" s="41"/>
      <c r="W135" s="19"/>
      <c r="X135" s="19"/>
    </row>
    <row r="136" spans="1:26" ht="15" customHeight="1" x14ac:dyDescent="0.3">
      <c r="D136" s="19"/>
      <c r="E136" s="19"/>
      <c r="G136" s="19"/>
      <c r="H136" s="19"/>
      <c r="I136" s="19"/>
      <c r="J136" s="41"/>
      <c r="K136" s="19"/>
      <c r="L136" s="19"/>
      <c r="M136" s="19"/>
      <c r="P136" s="19"/>
      <c r="Q136" s="19"/>
      <c r="R136" s="41"/>
      <c r="S136" s="19"/>
      <c r="T136" s="19"/>
      <c r="U136" s="19"/>
      <c r="V136" s="41"/>
      <c r="W136" s="19"/>
      <c r="X136" s="19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BF82F-1A19-710F-D704-00EE03FD1C6F}">
  <sheetPr>
    <tabColor rgb="FF92D050"/>
    <outlinePr summaryBelow="0" summaryRight="0"/>
  </sheetPr>
  <dimension ref="A2:Z12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","315"," - ","Bookstore Retail")</f>
        <v>Department 315 - Bookstore Retail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505355.36000000004</v>
      </c>
      <c r="E12" s="5"/>
      <c r="F12" s="13"/>
      <c r="G12" s="5"/>
      <c r="H12" s="5">
        <f>SUM(OSRRefH13x_0)</f>
        <v>216005</v>
      </c>
      <c r="I12" s="5"/>
      <c r="J12" s="13"/>
      <c r="K12" s="5"/>
      <c r="L12" s="5">
        <f t="shared" ref="L12:L17" si="0">+D12-H12</f>
        <v>289350.36000000004</v>
      </c>
      <c r="M12" s="5"/>
      <c r="N12" s="13">
        <f t="shared" ref="N12:N17" si="1">IF(H12=0,0,L12/H12)</f>
        <v>1.3395539918057455</v>
      </c>
      <c r="O12" s="11"/>
      <c r="P12" s="5">
        <f>SUM(OSRRefP13x_0)</f>
        <v>2518598.7599999998</v>
      </c>
      <c r="Q12" s="5"/>
      <c r="R12" s="13"/>
      <c r="S12" s="5"/>
      <c r="T12" s="5">
        <f>SUM(OSRRefT13x_0)</f>
        <v>1971427</v>
      </c>
      <c r="U12" s="5"/>
      <c r="V12" s="13"/>
      <c r="W12" s="5"/>
      <c r="X12" s="5">
        <f t="shared" ref="X12:X17" si="2">+P12-T12</f>
        <v>547171.75999999978</v>
      </c>
      <c r="Y12" s="5"/>
      <c r="Z12" s="13">
        <f t="shared" ref="Z12:Z17" si="3">IF(T12=0,0,X12/T12)</f>
        <v>0.27755111399001831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--453352.52</f>
        <v>453352.52</v>
      </c>
      <c r="E13" s="3"/>
      <c r="F13" s="20"/>
      <c r="G13" s="3"/>
      <c r="H13" s="3">
        <v>216005</v>
      </c>
      <c r="I13" s="3"/>
      <c r="J13" s="20"/>
      <c r="K13" s="3"/>
      <c r="L13" s="3">
        <f t="shared" si="0"/>
        <v>237347.52000000002</v>
      </c>
      <c r="M13" s="3"/>
      <c r="N13" s="20">
        <f t="shared" si="1"/>
        <v>1.0988056757945419</v>
      </c>
      <c r="O13" s="12"/>
      <c r="P13" s="3">
        <f>--2338383.16</f>
        <v>2338383.16</v>
      </c>
      <c r="Q13" s="3"/>
      <c r="R13" s="20"/>
      <c r="S13" s="3"/>
      <c r="T13" s="3">
        <v>1971427</v>
      </c>
      <c r="U13" s="3"/>
      <c r="V13" s="20"/>
      <c r="W13" s="3"/>
      <c r="X13" s="3">
        <f t="shared" si="2"/>
        <v>366956.16000000015</v>
      </c>
      <c r="Y13" s="3"/>
      <c r="Z13" s="20">
        <f t="shared" si="3"/>
        <v>0.18613733097903201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--71929.49</f>
        <v>71929.490000000005</v>
      </c>
      <c r="E14" s="3"/>
      <c r="F14" s="20"/>
      <c r="G14" s="3"/>
      <c r="H14" s="3"/>
      <c r="I14" s="3"/>
      <c r="J14" s="20"/>
      <c r="K14" s="3"/>
      <c r="L14" s="3">
        <f t="shared" si="0"/>
        <v>71929.490000000005</v>
      </c>
      <c r="M14" s="3"/>
      <c r="N14" s="20">
        <f t="shared" si="1"/>
        <v>0</v>
      </c>
      <c r="O14" s="12"/>
      <c r="P14" s="3">
        <f>--317454.01</f>
        <v>317454.01</v>
      </c>
      <c r="Q14" s="3"/>
      <c r="R14" s="20"/>
      <c r="S14" s="3"/>
      <c r="T14" s="3"/>
      <c r="U14" s="3"/>
      <c r="V14" s="20"/>
      <c r="W14" s="3"/>
      <c r="X14" s="3">
        <f t="shared" si="2"/>
        <v>317454.01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-12311.98</f>
        <v>-12311.98</v>
      </c>
      <c r="E15" s="3"/>
      <c r="F15" s="20"/>
      <c r="G15" s="3"/>
      <c r="H15" s="3"/>
      <c r="I15" s="3"/>
      <c r="J15" s="20"/>
      <c r="K15" s="3"/>
      <c r="L15" s="3">
        <f t="shared" si="0"/>
        <v>-12311.98</v>
      </c>
      <c r="M15" s="3"/>
      <c r="N15" s="20">
        <f t="shared" si="1"/>
        <v>0</v>
      </c>
      <c r="O15" s="12"/>
      <c r="P15" s="3">
        <f>-67492.47</f>
        <v>-67492.47</v>
      </c>
      <c r="Q15" s="3"/>
      <c r="R15" s="20"/>
      <c r="S15" s="3"/>
      <c r="T15" s="3"/>
      <c r="U15" s="3"/>
      <c r="V15" s="20"/>
      <c r="W15" s="3"/>
      <c r="X15" s="3">
        <f t="shared" si="2"/>
        <v>-67492.47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-245.74</f>
        <v>-245.74</v>
      </c>
      <c r="E16" s="3"/>
      <c r="F16" s="20"/>
      <c r="G16" s="3"/>
      <c r="H16" s="3"/>
      <c r="I16" s="3"/>
      <c r="J16" s="20"/>
      <c r="K16" s="3"/>
      <c r="L16" s="3">
        <f t="shared" si="0"/>
        <v>-245.74</v>
      </c>
      <c r="M16" s="3"/>
      <c r="N16" s="20">
        <f t="shared" si="1"/>
        <v>0</v>
      </c>
      <c r="O16" s="12"/>
      <c r="P16" s="3">
        <f>-1898.53</f>
        <v>-1898.53</v>
      </c>
      <c r="Q16" s="3"/>
      <c r="R16" s="20"/>
      <c r="S16" s="3"/>
      <c r="T16" s="3"/>
      <c r="U16" s="3"/>
      <c r="V16" s="20"/>
      <c r="W16" s="3"/>
      <c r="X16" s="3">
        <f t="shared" si="2"/>
        <v>-1898.53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-7368.93</f>
        <v>-7368.93</v>
      </c>
      <c r="E17" s="3"/>
      <c r="F17" s="20"/>
      <c r="G17" s="3"/>
      <c r="H17" s="3"/>
      <c r="I17" s="3"/>
      <c r="J17" s="20"/>
      <c r="K17" s="3"/>
      <c r="L17" s="3">
        <f t="shared" si="0"/>
        <v>-7368.93</v>
      </c>
      <c r="M17" s="3"/>
      <c r="N17" s="20">
        <f t="shared" si="1"/>
        <v>0</v>
      </c>
      <c r="O17" s="12"/>
      <c r="P17" s="3">
        <f>-67847.41</f>
        <v>-67847.41</v>
      </c>
      <c r="Q17" s="3"/>
      <c r="R17" s="20"/>
      <c r="S17" s="3"/>
      <c r="T17" s="3"/>
      <c r="U17" s="3"/>
      <c r="V17" s="20"/>
      <c r="W17" s="3"/>
      <c r="X17" s="3">
        <f t="shared" si="2"/>
        <v>-67847.41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228403.65</v>
      </c>
      <c r="E19" s="5"/>
      <c r="F19" s="13">
        <f t="shared" ref="F19:F38" si="4">IF(D$12=0,0,D19/D$12)</f>
        <v>0.45196641428716611</v>
      </c>
      <c r="G19" s="5"/>
      <c r="H19" s="5">
        <f>SUM(OSRRefH16x_0)</f>
        <v>109125</v>
      </c>
      <c r="I19" s="5"/>
      <c r="J19" s="13">
        <f t="shared" ref="J19:J38" si="5">IF(H$12=0,0,H19/H$12)</f>
        <v>0.50519663896669054</v>
      </c>
      <c r="K19" s="5"/>
      <c r="L19" s="5">
        <f t="shared" ref="L19:L38" si="6">+D19-H19</f>
        <v>119278.65</v>
      </c>
      <c r="M19" s="5"/>
      <c r="N19" s="13">
        <f t="shared" ref="N19:N38" si="7">IF(H19=0,0,L19/H19)</f>
        <v>1.0930460481099655</v>
      </c>
      <c r="O19" s="11"/>
      <c r="P19" s="5">
        <f>SUM(OSRRefP16x_0)</f>
        <v>1220511.3500000003</v>
      </c>
      <c r="Q19" s="5"/>
      <c r="R19" s="13">
        <f t="shared" ref="R19:R38" si="8">IF(P$12=0,0,P19/P$12)</f>
        <v>0.48459936111459073</v>
      </c>
      <c r="S19" s="5"/>
      <c r="T19" s="5">
        <f>SUM(OSRRefT16x_0)</f>
        <v>1022580</v>
      </c>
      <c r="U19" s="5"/>
      <c r="V19" s="13">
        <f t="shared" ref="V19:V38" si="9">IF(T$12=0,0,T19/T$12)</f>
        <v>0.51870041345685136</v>
      </c>
      <c r="W19" s="5"/>
      <c r="X19" s="5">
        <f t="shared" ref="X19:X38" si="10">+P19-T19</f>
        <v>197931.35000000033</v>
      </c>
      <c r="Y19" s="5"/>
      <c r="Z19" s="13">
        <f t="shared" ref="Z19:Z38" si="11">IF(T19=0,0,X19/T19)</f>
        <v>0.19356074830331155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205846.32</v>
      </c>
      <c r="E20" s="3"/>
      <c r="F20" s="20">
        <f t="shared" si="4"/>
        <v>0.40732984409228384</v>
      </c>
      <c r="G20" s="3"/>
      <c r="H20" s="3">
        <v>109125</v>
      </c>
      <c r="I20" s="3"/>
      <c r="J20" s="20">
        <f t="shared" si="5"/>
        <v>0.50519663896669054</v>
      </c>
      <c r="K20" s="3"/>
      <c r="L20" s="3">
        <f t="shared" si="6"/>
        <v>96721.32</v>
      </c>
      <c r="M20" s="3"/>
      <c r="N20" s="20">
        <f t="shared" si="7"/>
        <v>0.88633512027491412</v>
      </c>
      <c r="O20" s="12"/>
      <c r="P20" s="3">
        <v>1416365.59</v>
      </c>
      <c r="Q20" s="3"/>
      <c r="R20" s="20">
        <f t="shared" si="8"/>
        <v>0.5623625376516902</v>
      </c>
      <c r="S20" s="3"/>
      <c r="T20" s="3">
        <v>1022580</v>
      </c>
      <c r="U20" s="3"/>
      <c r="V20" s="20">
        <f t="shared" si="9"/>
        <v>0.51870041345685136</v>
      </c>
      <c r="W20" s="3"/>
      <c r="X20" s="3">
        <f t="shared" si="10"/>
        <v>393785.59000000008</v>
      </c>
      <c r="Y20" s="3"/>
      <c r="Z20" s="20">
        <f t="shared" si="11"/>
        <v>0.38509025210741465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","5200"," - ","PURCHASES OFFSET")</f>
        <v xml:space="preserve">          5200 - PURCHASES OFFSET</v>
      </c>
      <c r="C30" s="12"/>
      <c r="D30" s="3">
        <v>-215663.88</v>
      </c>
      <c r="E30" s="3"/>
      <c r="F30" s="20">
        <f t="shared" si="4"/>
        <v>-0.42675688648083199</v>
      </c>
      <c r="G30" s="3"/>
      <c r="H30" s="3"/>
      <c r="I30" s="3"/>
      <c r="J30" s="20">
        <f t="shared" si="5"/>
        <v>0</v>
      </c>
      <c r="K30" s="3"/>
      <c r="L30" s="3">
        <f t="shared" si="6"/>
        <v>-215663.88</v>
      </c>
      <c r="M30" s="3"/>
      <c r="N30" s="20">
        <f t="shared" si="7"/>
        <v>0</v>
      </c>
      <c r="O30" s="12"/>
      <c r="P30" s="3">
        <v>-1468471.41</v>
      </c>
      <c r="Q30" s="3"/>
      <c r="R30" s="20">
        <f t="shared" si="8"/>
        <v>-0.58305095409480789</v>
      </c>
      <c r="S30" s="3"/>
      <c r="T30" s="3"/>
      <c r="U30" s="3"/>
      <c r="V30" s="20">
        <f t="shared" si="9"/>
        <v>0</v>
      </c>
      <c r="W30" s="3"/>
      <c r="X30" s="3">
        <f t="shared" si="10"/>
        <v>-1468471.41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","5300"," - ","COG$ OFFSET")</f>
        <v xml:space="preserve">          5300 - COG$ OFFSET</v>
      </c>
      <c r="C31" s="12"/>
      <c r="D31" s="3">
        <v>228403.65</v>
      </c>
      <c r="E31" s="3"/>
      <c r="F31" s="20">
        <f t="shared" si="4"/>
        <v>0.45196641428716611</v>
      </c>
      <c r="G31" s="3"/>
      <c r="H31" s="3"/>
      <c r="I31" s="3"/>
      <c r="J31" s="20">
        <f t="shared" si="5"/>
        <v>0</v>
      </c>
      <c r="K31" s="3"/>
      <c r="L31" s="3">
        <f t="shared" si="6"/>
        <v>228403.65</v>
      </c>
      <c r="M31" s="3"/>
      <c r="N31" s="20">
        <f t="shared" si="7"/>
        <v>0</v>
      </c>
      <c r="O31" s="12"/>
      <c r="P31" s="3">
        <v>1220511.3500000001</v>
      </c>
      <c r="Q31" s="3"/>
      <c r="R31" s="20">
        <f t="shared" si="8"/>
        <v>0.48459936111459062</v>
      </c>
      <c r="S31" s="3"/>
      <c r="T31" s="3"/>
      <c r="U31" s="3"/>
      <c r="V31" s="20">
        <f t="shared" si="9"/>
        <v>0</v>
      </c>
      <c r="W31" s="3"/>
      <c r="X31" s="3">
        <f t="shared" si="10"/>
        <v>1220511.3500000001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","5500"," - ","FREIGHT-IN")</f>
        <v xml:space="preserve">          5500 - FREIGHT-IN</v>
      </c>
      <c r="C32" s="12"/>
      <c r="D32" s="3">
        <v>9817.56</v>
      </c>
      <c r="E32" s="3"/>
      <c r="F32" s="20">
        <f t="shared" si="4"/>
        <v>1.9427042388548126E-2</v>
      </c>
      <c r="G32" s="3"/>
      <c r="H32" s="3"/>
      <c r="I32" s="3"/>
      <c r="J32" s="20">
        <f t="shared" si="5"/>
        <v>0</v>
      </c>
      <c r="K32" s="3"/>
      <c r="L32" s="3">
        <f t="shared" si="6"/>
        <v>9817.56</v>
      </c>
      <c r="M32" s="3"/>
      <c r="N32" s="20">
        <f t="shared" si="7"/>
        <v>0</v>
      </c>
      <c r="O32" s="12"/>
      <c r="P32" s="3">
        <v>52105.82</v>
      </c>
      <c r="Q32" s="3"/>
      <c r="R32" s="20">
        <f t="shared" si="8"/>
        <v>2.0688416443117762E-2</v>
      </c>
      <c r="S32" s="3"/>
      <c r="T32" s="3"/>
      <c r="U32" s="3"/>
      <c r="V32" s="20">
        <f t="shared" si="9"/>
        <v>0</v>
      </c>
      <c r="W32" s="3"/>
      <c r="X32" s="3">
        <f t="shared" si="10"/>
        <v>52105.82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8" t="s">
        <v>289</v>
      </c>
      <c r="C40" s="28"/>
      <c r="D40" s="21">
        <f>D12-D19</f>
        <v>276951.71000000008</v>
      </c>
      <c r="E40" s="15"/>
      <c r="F40" s="22">
        <f>IF(D$12=0,0,D40/D$12)</f>
        <v>0.54803358571283389</v>
      </c>
      <c r="G40" s="15"/>
      <c r="H40" s="21">
        <f>H12-H19</f>
        <v>106880</v>
      </c>
      <c r="I40" s="15"/>
      <c r="J40" s="22">
        <f>IF(H$12=0,0,H40/H$12)</f>
        <v>0.49480336103330941</v>
      </c>
      <c r="K40" s="16"/>
      <c r="L40" s="21">
        <f>+D40-H40</f>
        <v>170071.71000000008</v>
      </c>
      <c r="M40" s="16"/>
      <c r="N40" s="22">
        <f>IF(H40=0,0,L40/H40)</f>
        <v>1.5912398016467073</v>
      </c>
      <c r="O40" s="27"/>
      <c r="P40" s="21">
        <f>P12-P19</f>
        <v>1298087.4099999995</v>
      </c>
      <c r="Q40" s="15"/>
      <c r="R40" s="22">
        <f>IF(P$12=0,0,P40/P$12)</f>
        <v>0.51540063888540932</v>
      </c>
      <c r="S40" s="15"/>
      <c r="T40" s="21">
        <f>T12-T19</f>
        <v>948847</v>
      </c>
      <c r="U40" s="15"/>
      <c r="V40" s="22">
        <f>IF(T$12=0,0,T40/T$12)</f>
        <v>0.48129958654314869</v>
      </c>
      <c r="W40" s="16"/>
      <c r="X40" s="21">
        <f>+P40-T40</f>
        <v>349240.40999999945</v>
      </c>
      <c r="Y40" s="16"/>
      <c r="Z40" s="22">
        <f>IF(T40=0,0,X40/T40)</f>
        <v>0.36806820277663255</v>
      </c>
    </row>
    <row r="41" spans="1:26" ht="15" customHeight="1" x14ac:dyDescent="0.3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3">
      <c r="A42" s="11"/>
      <c r="B42" s="27" t="s">
        <v>290</v>
      </c>
      <c r="C42" s="11"/>
      <c r="D42" s="23" cm="1">
        <f t="array" ref="D42">SUM(OSRRefD22x_0)</f>
        <v>93983.140000000014</v>
      </c>
      <c r="E42" s="23"/>
      <c r="F42" s="29">
        <f t="shared" ref="F42:F73" si="12">IF(D$12=0,0,D42/D$12)</f>
        <v>0.18597436069541246</v>
      </c>
      <c r="G42" s="23"/>
      <c r="H42" s="23" cm="1">
        <f t="array" ref="H42">SUM(OSRRefH22x_0)</f>
        <v>78634.075597923074</v>
      </c>
      <c r="I42" s="23"/>
      <c r="J42" s="29">
        <f t="shared" ref="J42:J73" si="13">IF(H$12=0,0,H42/H$12)</f>
        <v>0.36403821947604487</v>
      </c>
      <c r="K42" s="5"/>
      <c r="L42" s="23">
        <f t="shared" ref="L42:L73" si="14">+D42-H42</f>
        <v>15349.06440207694</v>
      </c>
      <c r="M42" s="5"/>
      <c r="N42" s="29">
        <f t="shared" ref="N42:N73" si="15">IF(H42=0,0,L42/H42)</f>
        <v>0.19519609387361256</v>
      </c>
      <c r="O42" s="11"/>
      <c r="P42" s="23" cm="1">
        <f t="array" ref="P42">SUM(OSRRefP22x_0)</f>
        <v>655846.85</v>
      </c>
      <c r="Q42" s="23"/>
      <c r="R42" s="29">
        <f t="shared" ref="R42:R73" si="16">IF(P$12=0,0,P42/P$12)</f>
        <v>0.26040148213207254</v>
      </c>
      <c r="S42" s="23"/>
      <c r="T42" s="23" cm="1">
        <f t="array" ref="T42">SUM(OSRRefT22x_0)</f>
        <v>686234.43515782699</v>
      </c>
      <c r="U42" s="23"/>
      <c r="V42" s="29">
        <f t="shared" ref="V42:V73" si="17">IF(T$12=0,0,T42/T$12)</f>
        <v>0.34809020834036813</v>
      </c>
      <c r="W42" s="5"/>
      <c r="X42" s="23">
        <f t="shared" ref="X42:X73" si="18">+P42-T42</f>
        <v>-30387.585157827009</v>
      </c>
      <c r="Y42" s="5"/>
      <c r="Z42" s="29">
        <f t="shared" ref="Z42:Z73" si="19">IF(T42=0,0,X42/T42)</f>
        <v>-4.4281638461990284E-2</v>
      </c>
    </row>
    <row r="43" spans="1:26" s="69" customFormat="1" ht="15" customHeight="1" outlineLevel="1" collapsed="1" x14ac:dyDescent="0.3">
      <c r="A43" s="25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13524.150000000001</v>
      </c>
      <c r="E43" s="2"/>
      <c r="F43" s="6">
        <f t="shared" si="12"/>
        <v>2.6761663317472283E-2</v>
      </c>
      <c r="G43" s="2"/>
      <c r="H43" s="2">
        <f>SUM(OSRRefH22_0x_0)</f>
        <v>17751.285597923081</v>
      </c>
      <c r="I43" s="2"/>
      <c r="J43" s="6">
        <f t="shared" si="13"/>
        <v>8.2179975453915796E-2</v>
      </c>
      <c r="K43" s="2"/>
      <c r="L43" s="2">
        <f t="shared" si="14"/>
        <v>-4227.1355979230793</v>
      </c>
      <c r="M43" s="2"/>
      <c r="N43" s="6">
        <f t="shared" si="15"/>
        <v>-0.23813123700841468</v>
      </c>
      <c r="O43" s="14"/>
      <c r="P43" s="2">
        <f>SUM(OSRRefP22_0x_0)</f>
        <v>109600.13999999998</v>
      </c>
      <c r="Q43" s="2"/>
      <c r="R43" s="6">
        <f t="shared" si="16"/>
        <v>4.3516316191627123E-2</v>
      </c>
      <c r="S43" s="2"/>
      <c r="T43" s="2">
        <f>SUM(OSRRefT22_0x_0)</f>
        <v>144716.28265782699</v>
      </c>
      <c r="U43" s="2"/>
      <c r="V43" s="6">
        <f t="shared" si="17"/>
        <v>7.3406868556546601E-2</v>
      </c>
      <c r="W43" s="2"/>
      <c r="X43" s="2">
        <f t="shared" si="18"/>
        <v>-35116.142657827004</v>
      </c>
      <c r="Y43" s="2"/>
      <c r="Z43" s="6">
        <f t="shared" si="19"/>
        <v>-0.24265509044933822</v>
      </c>
    </row>
    <row r="44" spans="1:26" s="70" customFormat="1" ht="15" hidden="1" customHeight="1" outlineLevel="2" x14ac:dyDescent="0.3">
      <c r="A44" s="26"/>
      <c r="B44" s="12" t="str">
        <f>CONCATENATE("          ","6111"," - ","F.I.C.A.")</f>
        <v xml:space="preserve">          6111 - F.I.C.A.</v>
      </c>
      <c r="C44" s="12"/>
      <c r="D44" s="8">
        <v>2080.38</v>
      </c>
      <c r="E44" s="3"/>
      <c r="F44" s="7">
        <f t="shared" si="12"/>
        <v>4.116667526787487E-3</v>
      </c>
      <c r="G44" s="3"/>
      <c r="H44" s="8">
        <v>4436.6507309999997</v>
      </c>
      <c r="I44" s="3"/>
      <c r="J44" s="7">
        <f t="shared" si="13"/>
        <v>2.0539574227448436E-2</v>
      </c>
      <c r="K44" s="3"/>
      <c r="L44" s="8">
        <f t="shared" si="14"/>
        <v>-2356.2707309999996</v>
      </c>
      <c r="M44" s="3"/>
      <c r="N44" s="7">
        <f t="shared" si="15"/>
        <v>-0.53109223012218221</v>
      </c>
      <c r="O44" s="12"/>
      <c r="P44" s="8">
        <v>19797.12</v>
      </c>
      <c r="Q44" s="3"/>
      <c r="R44" s="7">
        <f t="shared" si="16"/>
        <v>7.8603707404350503E-3</v>
      </c>
      <c r="S44" s="3"/>
      <c r="T44" s="8">
        <v>32906.547332249997</v>
      </c>
      <c r="U44" s="3"/>
      <c r="V44" s="7">
        <f t="shared" si="17"/>
        <v>1.6691740212673355E-2</v>
      </c>
      <c r="W44" s="3"/>
      <c r="X44" s="8">
        <f t="shared" si="18"/>
        <v>-13109.427332249998</v>
      </c>
      <c r="Y44" s="3"/>
      <c r="Z44" s="7">
        <f t="shared" si="19"/>
        <v>-0.39838355570662159</v>
      </c>
    </row>
    <row r="45" spans="1:26" s="70" customFormat="1" ht="15" hidden="1" customHeight="1" outlineLevel="2" x14ac:dyDescent="0.3">
      <c r="A45" s="26"/>
      <c r="B45" s="12" t="str">
        <f>CONCATENATE("          ","6112"," - ","COMPENSATION INSURANCE")</f>
        <v xml:space="preserve">          6112 - COMPENSATION INSURANCE</v>
      </c>
      <c r="C45" s="12"/>
      <c r="D45" s="8">
        <v>1079.67</v>
      </c>
      <c r="E45" s="3"/>
      <c r="F45" s="7">
        <f t="shared" si="12"/>
        <v>2.1364570072038023E-3</v>
      </c>
      <c r="G45" s="3"/>
      <c r="H45" s="8">
        <v>904.37411999999995</v>
      </c>
      <c r="I45" s="3"/>
      <c r="J45" s="7">
        <f t="shared" si="13"/>
        <v>4.1868203050855306E-3</v>
      </c>
      <c r="K45" s="3"/>
      <c r="L45" s="8">
        <f t="shared" si="14"/>
        <v>175.29588000000012</v>
      </c>
      <c r="M45" s="3"/>
      <c r="N45" s="7">
        <f t="shared" si="15"/>
        <v>0.19383115474379137</v>
      </c>
      <c r="O45" s="12"/>
      <c r="P45" s="8">
        <v>7048.41</v>
      </c>
      <c r="Q45" s="3"/>
      <c r="R45" s="7">
        <f t="shared" si="16"/>
        <v>2.7985442190879188E-3</v>
      </c>
      <c r="S45" s="3"/>
      <c r="T45" s="8">
        <v>7676.4842699999999</v>
      </c>
      <c r="U45" s="3"/>
      <c r="V45" s="7">
        <f t="shared" si="17"/>
        <v>3.8938719364196594E-3</v>
      </c>
      <c r="W45" s="3"/>
      <c r="X45" s="8">
        <f t="shared" si="18"/>
        <v>-628.07427000000007</v>
      </c>
      <c r="Y45" s="3"/>
      <c r="Z45" s="7">
        <f t="shared" si="19"/>
        <v>-8.1817958313877989E-2</v>
      </c>
    </row>
    <row r="46" spans="1:26" s="70" customFormat="1" ht="15" hidden="1" customHeight="1" outlineLevel="2" x14ac:dyDescent="0.3">
      <c r="A46" s="26"/>
      <c r="B46" s="12" t="str">
        <f>CONCATENATE("          ","6113"," - ","GROUP INSURANCE")</f>
        <v xml:space="preserve">          6113 - GROUP INSURANCE</v>
      </c>
      <c r="C46" s="12"/>
      <c r="D46" s="8">
        <v>4501.42</v>
      </c>
      <c r="E46" s="3"/>
      <c r="F46" s="7">
        <f t="shared" si="12"/>
        <v>8.907434958244035E-3</v>
      </c>
      <c r="G46" s="3"/>
      <c r="H46" s="8">
        <v>6784.4230769230799</v>
      </c>
      <c r="I46" s="3"/>
      <c r="J46" s="7">
        <f t="shared" si="13"/>
        <v>3.1408639045036366E-2</v>
      </c>
      <c r="K46" s="3"/>
      <c r="L46" s="8">
        <f t="shared" si="14"/>
        <v>-2283.0030769230798</v>
      </c>
      <c r="M46" s="3"/>
      <c r="N46" s="7">
        <f t="shared" si="15"/>
        <v>-0.33650659032285524</v>
      </c>
      <c r="O46" s="12"/>
      <c r="P46" s="8">
        <v>34175.919999999998</v>
      </c>
      <c r="Q46" s="3"/>
      <c r="R46" s="7">
        <f t="shared" si="16"/>
        <v>1.3569418258587566E-2</v>
      </c>
      <c r="S46" s="3"/>
      <c r="T46" s="8">
        <v>56103.076923077002</v>
      </c>
      <c r="U46" s="3"/>
      <c r="V46" s="7">
        <f t="shared" si="17"/>
        <v>2.8458105181209857E-2</v>
      </c>
      <c r="W46" s="3"/>
      <c r="X46" s="8">
        <f t="shared" si="18"/>
        <v>-21927.156923077004</v>
      </c>
      <c r="Y46" s="3"/>
      <c r="Z46" s="7">
        <f t="shared" si="19"/>
        <v>-0.39083697589601646</v>
      </c>
    </row>
    <row r="47" spans="1:26" s="70" customFormat="1" ht="15" hidden="1" customHeight="1" outlineLevel="2" x14ac:dyDescent="0.3">
      <c r="A47" s="26"/>
      <c r="B47" s="12" t="str">
        <f>CONCATENATE("          ","6114"," - ","STATE UNEMPLOYMENT INSURANCE")</f>
        <v xml:space="preserve">          6114 - STATE UNEMPLOYMENT INSURANCE</v>
      </c>
      <c r="C47" s="12"/>
      <c r="D47" s="8">
        <v>190.52</v>
      </c>
      <c r="E47" s="3"/>
      <c r="F47" s="7">
        <f t="shared" si="12"/>
        <v>3.7700203674499461E-4</v>
      </c>
      <c r="G47" s="3"/>
      <c r="H47" s="8">
        <v>121.74267</v>
      </c>
      <c r="I47" s="3"/>
      <c r="J47" s="7">
        <f t="shared" si="13"/>
        <v>5.6361042568459064E-4</v>
      </c>
      <c r="K47" s="3"/>
      <c r="L47" s="8">
        <f t="shared" si="14"/>
        <v>68.777330000000006</v>
      </c>
      <c r="M47" s="3"/>
      <c r="N47" s="7">
        <f t="shared" si="15"/>
        <v>0.56494021364900249</v>
      </c>
      <c r="O47" s="12"/>
      <c r="P47" s="8">
        <v>1239.18</v>
      </c>
      <c r="Q47" s="3"/>
      <c r="R47" s="7">
        <f t="shared" si="16"/>
        <v>4.9201167715972357E-4</v>
      </c>
      <c r="S47" s="3"/>
      <c r="T47" s="8">
        <v>1033.3728825000001</v>
      </c>
      <c r="U47" s="3"/>
      <c r="V47" s="7">
        <f t="shared" si="17"/>
        <v>5.2417506836418496E-4</v>
      </c>
      <c r="W47" s="3"/>
      <c r="X47" s="8">
        <f t="shared" si="18"/>
        <v>205.8071175</v>
      </c>
      <c r="Y47" s="3"/>
      <c r="Z47" s="7">
        <f t="shared" si="19"/>
        <v>0.19916055567676461</v>
      </c>
    </row>
    <row r="48" spans="1:26" s="70" customFormat="1" ht="15" hidden="1" customHeight="1" outlineLevel="2" x14ac:dyDescent="0.3">
      <c r="A48" s="26"/>
      <c r="B48" s="12" t="str">
        <f>CONCATENATE("          ","6115"," - ","P.E.R.S.")</f>
        <v xml:space="preserve">          6115 - P.E.R.S.</v>
      </c>
      <c r="C48" s="12"/>
      <c r="D48" s="8">
        <v>1307.8399999999999</v>
      </c>
      <c r="E48" s="3"/>
      <c r="F48" s="7">
        <f t="shared" si="12"/>
        <v>2.5879610735700912E-3</v>
      </c>
      <c r="G48" s="3"/>
      <c r="H48" s="8">
        <v>1207.2249999999999</v>
      </c>
      <c r="I48" s="3"/>
      <c r="J48" s="7">
        <f t="shared" si="13"/>
        <v>5.5888752575171865E-3</v>
      </c>
      <c r="K48" s="3"/>
      <c r="L48" s="8">
        <f t="shared" si="14"/>
        <v>100.61500000000001</v>
      </c>
      <c r="M48" s="3"/>
      <c r="N48" s="7">
        <f t="shared" si="15"/>
        <v>8.3344032802501619E-2</v>
      </c>
      <c r="O48" s="12"/>
      <c r="P48" s="8">
        <v>12666.13</v>
      </c>
      <c r="Q48" s="3"/>
      <c r="R48" s="7">
        <f t="shared" si="16"/>
        <v>5.0290384483473657E-3</v>
      </c>
      <c r="S48" s="3"/>
      <c r="T48" s="8">
        <v>10563.21875</v>
      </c>
      <c r="U48" s="3"/>
      <c r="V48" s="7">
        <f t="shared" si="17"/>
        <v>5.3581587094018697E-3</v>
      </c>
      <c r="W48" s="3"/>
      <c r="X48" s="8">
        <f t="shared" si="18"/>
        <v>2102.9112499999992</v>
      </c>
      <c r="Y48" s="3"/>
      <c r="Z48" s="7">
        <f t="shared" si="19"/>
        <v>0.19907864257757601</v>
      </c>
    </row>
    <row r="49" spans="1:26" s="70" customFormat="1" ht="15" hidden="1" customHeight="1" outlineLevel="2" x14ac:dyDescent="0.3">
      <c r="A49" s="26"/>
      <c r="B49" s="12" t="str">
        <f>CONCATENATE("          ","6116"," - ","EDUCATIONAL BENEFITS")</f>
        <v xml:space="preserve">          6116 - EDUCATIONAL BENEFITS</v>
      </c>
      <c r="C49" s="12"/>
      <c r="D49" s="8"/>
      <c r="E49" s="3"/>
      <c r="F49" s="7">
        <f t="shared" si="12"/>
        <v>0</v>
      </c>
      <c r="G49" s="3"/>
      <c r="H49" s="8">
        <v>0</v>
      </c>
      <c r="I49" s="3"/>
      <c r="J49" s="7">
        <f t="shared" si="13"/>
        <v>0</v>
      </c>
      <c r="K49" s="3"/>
      <c r="L49" s="8">
        <f t="shared" si="14"/>
        <v>0</v>
      </c>
      <c r="M49" s="3"/>
      <c r="N49" s="7">
        <f t="shared" si="15"/>
        <v>0</v>
      </c>
      <c r="O49" s="12"/>
      <c r="P49" s="8"/>
      <c r="Q49" s="3"/>
      <c r="R49" s="7">
        <f t="shared" si="16"/>
        <v>0</v>
      </c>
      <c r="S49" s="3"/>
      <c r="T49" s="8">
        <v>0</v>
      </c>
      <c r="U49" s="3"/>
      <c r="V49" s="7">
        <f t="shared" si="17"/>
        <v>0</v>
      </c>
      <c r="W49" s="3"/>
      <c r="X49" s="8">
        <f t="shared" si="18"/>
        <v>0</v>
      </c>
      <c r="Y49" s="3"/>
      <c r="Z49" s="7">
        <f t="shared" si="19"/>
        <v>0</v>
      </c>
    </row>
    <row r="50" spans="1:26" s="70" customFormat="1" ht="15" hidden="1" customHeight="1" outlineLevel="2" x14ac:dyDescent="0.3">
      <c r="A50" s="26"/>
      <c r="B50" s="12" t="str">
        <f>CONCATENATE("          ","6118"," - ","VACATION")</f>
        <v xml:space="preserve">          6118 - VACATION</v>
      </c>
      <c r="C50" s="12"/>
      <c r="D50" s="8">
        <v>1833.1</v>
      </c>
      <c r="E50" s="3"/>
      <c r="F50" s="7">
        <f t="shared" si="12"/>
        <v>3.6273484860237749E-3</v>
      </c>
      <c r="G50" s="3"/>
      <c r="H50" s="8">
        <v>1113.875</v>
      </c>
      <c r="I50" s="3"/>
      <c r="J50" s="7">
        <f t="shared" si="13"/>
        <v>5.15670933543205E-3</v>
      </c>
      <c r="K50" s="3"/>
      <c r="L50" s="8">
        <f t="shared" si="14"/>
        <v>719.22499999999991</v>
      </c>
      <c r="M50" s="3"/>
      <c r="N50" s="7">
        <f t="shared" si="15"/>
        <v>0.64569633037818419</v>
      </c>
      <c r="O50" s="12"/>
      <c r="P50" s="8">
        <v>15619.11</v>
      </c>
      <c r="Q50" s="3"/>
      <c r="R50" s="7">
        <f t="shared" si="16"/>
        <v>6.2015078574881857E-3</v>
      </c>
      <c r="S50" s="3"/>
      <c r="T50" s="8">
        <v>9746.40625</v>
      </c>
      <c r="U50" s="3"/>
      <c r="V50" s="7">
        <f t="shared" si="17"/>
        <v>4.9438331979829841E-3</v>
      </c>
      <c r="W50" s="3"/>
      <c r="X50" s="8">
        <f t="shared" si="18"/>
        <v>5872.7037500000006</v>
      </c>
      <c r="Y50" s="3"/>
      <c r="Z50" s="7">
        <f t="shared" si="19"/>
        <v>0.60255068374561138</v>
      </c>
    </row>
    <row r="51" spans="1:26" s="70" customFormat="1" ht="15" hidden="1" customHeight="1" outlineLevel="2" x14ac:dyDescent="0.3">
      <c r="A51" s="26"/>
      <c r="B51" s="12" t="str">
        <f>CONCATENATE("          ","6119"," - ","SICK LEAVE")</f>
        <v xml:space="preserve">          6119 - SICK LEAVE</v>
      </c>
      <c r="C51" s="12"/>
      <c r="D51" s="8">
        <v>1721.44</v>
      </c>
      <c r="E51" s="3"/>
      <c r="F51" s="7">
        <f t="shared" si="12"/>
        <v>3.4063950563421349E-3</v>
      </c>
      <c r="G51" s="3"/>
      <c r="H51" s="8">
        <v>2307.9949999999999</v>
      </c>
      <c r="I51" s="3"/>
      <c r="J51" s="7">
        <f t="shared" si="13"/>
        <v>1.0684914701048586E-2</v>
      </c>
      <c r="K51" s="3"/>
      <c r="L51" s="8">
        <f t="shared" si="14"/>
        <v>-586.55499999999984</v>
      </c>
      <c r="M51" s="3"/>
      <c r="N51" s="7">
        <f t="shared" si="15"/>
        <v>-0.25414049857127069</v>
      </c>
      <c r="O51" s="12"/>
      <c r="P51" s="8">
        <v>13907.51</v>
      </c>
      <c r="Q51" s="3"/>
      <c r="R51" s="7">
        <f t="shared" si="16"/>
        <v>5.5219236270885805E-3</v>
      </c>
      <c r="S51" s="3"/>
      <c r="T51" s="8">
        <v>19687.17625</v>
      </c>
      <c r="U51" s="3"/>
      <c r="V51" s="7">
        <f t="shared" si="17"/>
        <v>9.9862567825235223E-3</v>
      </c>
      <c r="W51" s="3"/>
      <c r="X51" s="8">
        <f t="shared" si="18"/>
        <v>-5779.6662500000002</v>
      </c>
      <c r="Y51" s="3"/>
      <c r="Z51" s="7">
        <f t="shared" si="19"/>
        <v>-0.29357517688703577</v>
      </c>
    </row>
    <row r="52" spans="1:26" s="70" customFormat="1" ht="15" hidden="1" customHeight="1" outlineLevel="2" x14ac:dyDescent="0.3">
      <c r="A52" s="26"/>
      <c r="B52" s="12" t="str">
        <f>CONCATENATE("          ","6156"," - ","EMPLOYEE MEALS")</f>
        <v xml:space="preserve">          6156 - EMPLOYEE MEALS</v>
      </c>
      <c r="C52" s="12"/>
      <c r="D52" s="8">
        <v>809.78</v>
      </c>
      <c r="E52" s="3"/>
      <c r="F52" s="7">
        <f t="shared" si="12"/>
        <v>1.6023971725559613E-3</v>
      </c>
      <c r="G52" s="3"/>
      <c r="H52" s="8">
        <v>875</v>
      </c>
      <c r="I52" s="3"/>
      <c r="J52" s="7">
        <f t="shared" si="13"/>
        <v>4.05083215666304E-3</v>
      </c>
      <c r="K52" s="3"/>
      <c r="L52" s="8">
        <f t="shared" si="14"/>
        <v>-65.220000000000027</v>
      </c>
      <c r="M52" s="3"/>
      <c r="N52" s="7">
        <f t="shared" si="15"/>
        <v>-7.4537142857142885E-2</v>
      </c>
      <c r="O52" s="12"/>
      <c r="P52" s="8">
        <v>5146.76</v>
      </c>
      <c r="Q52" s="3"/>
      <c r="R52" s="7">
        <f t="shared" si="16"/>
        <v>2.0435013634327371E-3</v>
      </c>
      <c r="S52" s="3"/>
      <c r="T52" s="8">
        <v>7000</v>
      </c>
      <c r="U52" s="3"/>
      <c r="V52" s="7">
        <f t="shared" si="17"/>
        <v>3.5507274679711701E-3</v>
      </c>
      <c r="W52" s="3"/>
      <c r="X52" s="8">
        <f t="shared" si="18"/>
        <v>-1853.2399999999998</v>
      </c>
      <c r="Y52" s="3"/>
      <c r="Z52" s="7">
        <f t="shared" si="19"/>
        <v>-0.26474857142857139</v>
      </c>
    </row>
    <row r="53" spans="1:26" s="69" customFormat="1" ht="15" customHeight="1" outlineLevel="1" collapsed="1" x14ac:dyDescent="0.3">
      <c r="A53" s="25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71068.83</v>
      </c>
      <c r="E53" s="2"/>
      <c r="F53" s="6">
        <f t="shared" si="12"/>
        <v>0.14063139648899736</v>
      </c>
      <c r="G53" s="2"/>
      <c r="H53" s="2">
        <f>SUM(OSRRefH22_1x_0)</f>
        <v>55436.79</v>
      </c>
      <c r="I53" s="2"/>
      <c r="J53" s="6">
        <f t="shared" si="13"/>
        <v>0.25664586467905837</v>
      </c>
      <c r="K53" s="2"/>
      <c r="L53" s="2">
        <f t="shared" si="14"/>
        <v>15632.04</v>
      </c>
      <c r="M53" s="2"/>
      <c r="N53" s="6">
        <f t="shared" si="15"/>
        <v>0.2819795302000711</v>
      </c>
      <c r="O53" s="14"/>
      <c r="P53" s="2">
        <f>SUM(OSRRefP22_1x_0)</f>
        <v>458607.9</v>
      </c>
      <c r="Q53" s="2"/>
      <c r="R53" s="6">
        <f t="shared" si="16"/>
        <v>0.18208851178819768</v>
      </c>
      <c r="S53" s="2"/>
      <c r="T53" s="2">
        <f>SUM(OSRRefT22_1x_0)</f>
        <v>470024.15249999997</v>
      </c>
      <c r="U53" s="2"/>
      <c r="V53" s="6">
        <f t="shared" si="17"/>
        <v>0.23841823841308857</v>
      </c>
      <c r="W53" s="2"/>
      <c r="X53" s="2">
        <f t="shared" si="18"/>
        <v>-11416.252499999944</v>
      </c>
      <c r="Y53" s="2"/>
      <c r="Z53" s="6">
        <f t="shared" si="19"/>
        <v>-2.4288650783748703E-2</v>
      </c>
    </row>
    <row r="54" spans="1:26" s="70" customFormat="1" ht="15" hidden="1" customHeight="1" outlineLevel="2" x14ac:dyDescent="0.3">
      <c r="A54" s="26"/>
      <c r="B54" s="12" t="str">
        <f>CONCATENATE("          ","6001"," - ","ADMINISTRATIVE SALARIES")</f>
        <v xml:space="preserve">          6001 - ADMINISTRATIVE SALARIES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","6002"," - ","STAFF SALARIES")</f>
        <v xml:space="preserve">          6002 - STAFF SALARIES</v>
      </c>
      <c r="C55" s="12"/>
      <c r="D55" s="8">
        <v>12404.36</v>
      </c>
      <c r="E55" s="3"/>
      <c r="F55" s="7">
        <f t="shared" si="12"/>
        <v>2.4545816630895136E-2</v>
      </c>
      <c r="G55" s="3"/>
      <c r="H55" s="8">
        <v>12633.75</v>
      </c>
      <c r="I55" s="3"/>
      <c r="J55" s="7">
        <f t="shared" si="13"/>
        <v>5.848822943913335E-2</v>
      </c>
      <c r="K55" s="3"/>
      <c r="L55" s="8">
        <f t="shared" si="14"/>
        <v>-229.38999999999942</v>
      </c>
      <c r="M55" s="3"/>
      <c r="N55" s="7">
        <f t="shared" si="15"/>
        <v>-1.8156920945879049E-2</v>
      </c>
      <c r="O55" s="12"/>
      <c r="P55" s="8">
        <v>122454.38</v>
      </c>
      <c r="Q55" s="3"/>
      <c r="R55" s="7">
        <f t="shared" si="16"/>
        <v>4.8620042995653666E-2</v>
      </c>
      <c r="S55" s="3"/>
      <c r="T55" s="8">
        <v>110545.3125</v>
      </c>
      <c r="U55" s="3"/>
      <c r="V55" s="7">
        <f t="shared" si="17"/>
        <v>5.6073753935600962E-2</v>
      </c>
      <c r="W55" s="3"/>
      <c r="X55" s="8">
        <f t="shared" si="18"/>
        <v>11909.067500000005</v>
      </c>
      <c r="Y55" s="3"/>
      <c r="Z55" s="7">
        <f t="shared" si="19"/>
        <v>0.10773018982600464</v>
      </c>
    </row>
    <row r="56" spans="1:26" s="70" customFormat="1" ht="15" hidden="1" customHeight="1" outlineLevel="2" x14ac:dyDescent="0.3">
      <c r="A56" s="26"/>
      <c r="B56" s="12" t="str">
        <f>CONCATENATE("          ","6003"," - ","STAFF HOURLY-9 MONTH")</f>
        <v xml:space="preserve">          6003 - STAFF HOURLY-9 MONTH</v>
      </c>
      <c r="C56" s="12"/>
      <c r="D56" s="8"/>
      <c r="E56" s="3"/>
      <c r="F56" s="7">
        <f t="shared" si="12"/>
        <v>0</v>
      </c>
      <c r="G56" s="3"/>
      <c r="H56" s="8">
        <v>0</v>
      </c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","6004"," - ","STAFF HOURLY")</f>
        <v xml:space="preserve">          6004 - STAFF HOURLY</v>
      </c>
      <c r="C57" s="12"/>
      <c r="D57" s="8">
        <v>13957.01</v>
      </c>
      <c r="E57" s="3"/>
      <c r="F57" s="7">
        <f t="shared" si="12"/>
        <v>2.7618209095476891E-2</v>
      </c>
      <c r="G57" s="3"/>
      <c r="H57" s="8">
        <v>13271.04</v>
      </c>
      <c r="I57" s="3"/>
      <c r="J57" s="7">
        <f t="shared" si="13"/>
        <v>6.1438577810698829E-2</v>
      </c>
      <c r="K57" s="3"/>
      <c r="L57" s="8">
        <f t="shared" si="14"/>
        <v>685.96999999999935</v>
      </c>
      <c r="M57" s="3"/>
      <c r="N57" s="7">
        <f t="shared" si="15"/>
        <v>5.1689242139274637E-2</v>
      </c>
      <c r="O57" s="12"/>
      <c r="P57" s="8">
        <v>69496.149999999994</v>
      </c>
      <c r="Q57" s="3"/>
      <c r="R57" s="7">
        <f t="shared" si="16"/>
        <v>2.7593180423863942E-2</v>
      </c>
      <c r="S57" s="3"/>
      <c r="T57" s="8">
        <v>113631.84</v>
      </c>
      <c r="U57" s="3"/>
      <c r="V57" s="7">
        <f t="shared" si="17"/>
        <v>5.7639385074872158E-2</v>
      </c>
      <c r="W57" s="3"/>
      <c r="X57" s="8">
        <f t="shared" si="18"/>
        <v>-44135.69</v>
      </c>
      <c r="Y57" s="3"/>
      <c r="Z57" s="7">
        <f t="shared" si="19"/>
        <v>-0.38840953380672183</v>
      </c>
    </row>
    <row r="58" spans="1:26" s="70" customFormat="1" ht="15" hidden="1" customHeight="1" outlineLevel="2" x14ac:dyDescent="0.3">
      <c r="A58" s="26"/>
      <c r="B58" s="12" t="str">
        <f>CONCATENATE("          ","6005"," - ","TEMPORARY WAGES-HOURLY")</f>
        <v xml:space="preserve">          6005 - TEMPORARY WAGES-HOURLY</v>
      </c>
      <c r="C58" s="12"/>
      <c r="D58" s="8">
        <v>2315.6</v>
      </c>
      <c r="E58" s="3"/>
      <c r="F58" s="7">
        <f t="shared" si="12"/>
        <v>4.5821221724055717E-3</v>
      </c>
      <c r="G58" s="3"/>
      <c r="H58" s="8">
        <v>0</v>
      </c>
      <c r="I58" s="3"/>
      <c r="J58" s="7">
        <f t="shared" si="13"/>
        <v>0</v>
      </c>
      <c r="K58" s="3"/>
      <c r="L58" s="8">
        <f t="shared" si="14"/>
        <v>2315.6</v>
      </c>
      <c r="M58" s="3"/>
      <c r="N58" s="7">
        <f t="shared" si="15"/>
        <v>0</v>
      </c>
      <c r="O58" s="12"/>
      <c r="P58" s="8">
        <v>21863.85</v>
      </c>
      <c r="Q58" s="3"/>
      <c r="R58" s="7">
        <f t="shared" si="16"/>
        <v>8.6809579783958916E-3</v>
      </c>
      <c r="S58" s="3"/>
      <c r="T58" s="8">
        <v>0</v>
      </c>
      <c r="U58" s="3"/>
      <c r="V58" s="7">
        <f t="shared" si="17"/>
        <v>0</v>
      </c>
      <c r="W58" s="3"/>
      <c r="X58" s="8">
        <f t="shared" si="18"/>
        <v>21863.85</v>
      </c>
      <c r="Y58" s="3"/>
      <c r="Z58" s="7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","6006"," - ","TEMPORARY PART TIME")</f>
        <v xml:space="preserve">          6006 - TEMPORARY PART TIME</v>
      </c>
      <c r="C59" s="12"/>
      <c r="D59" s="8"/>
      <c r="E59" s="3"/>
      <c r="F59" s="7">
        <f t="shared" si="12"/>
        <v>0</v>
      </c>
      <c r="G59" s="3"/>
      <c r="H59" s="8">
        <v>0</v>
      </c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0</v>
      </c>
      <c r="U59" s="3"/>
      <c r="V59" s="7">
        <f t="shared" si="17"/>
        <v>0</v>
      </c>
      <c r="W59" s="3"/>
      <c r="X59" s="8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","6007"," - ","STUDENT HOURLY")</f>
        <v xml:space="preserve">          6007 - STUDENT HOURLY</v>
      </c>
      <c r="C60" s="12"/>
      <c r="D60" s="8">
        <v>30487.86</v>
      </c>
      <c r="E60" s="3"/>
      <c r="F60" s="7">
        <f t="shared" si="12"/>
        <v>6.0329547113144297E-2</v>
      </c>
      <c r="G60" s="3"/>
      <c r="H60" s="8">
        <v>29532</v>
      </c>
      <c r="I60" s="3"/>
      <c r="J60" s="7">
        <f t="shared" si="13"/>
        <v>0.13671905742922619</v>
      </c>
      <c r="K60" s="3"/>
      <c r="L60" s="8">
        <f t="shared" si="14"/>
        <v>955.86000000000058</v>
      </c>
      <c r="M60" s="3"/>
      <c r="N60" s="7">
        <f t="shared" si="15"/>
        <v>3.2366924014628221E-2</v>
      </c>
      <c r="O60" s="12"/>
      <c r="P60" s="8">
        <v>190000.5</v>
      </c>
      <c r="Q60" s="3"/>
      <c r="R60" s="7">
        <f t="shared" si="16"/>
        <v>7.5438971469993107E-2</v>
      </c>
      <c r="S60" s="3"/>
      <c r="T60" s="8">
        <v>183747</v>
      </c>
      <c r="U60" s="3"/>
      <c r="V60" s="7">
        <f t="shared" si="17"/>
        <v>9.3205074293899806E-2</v>
      </c>
      <c r="W60" s="3"/>
      <c r="X60" s="8">
        <f t="shared" si="18"/>
        <v>6253.5</v>
      </c>
      <c r="Y60" s="3"/>
      <c r="Z60" s="7">
        <f t="shared" si="19"/>
        <v>3.4033208705448251E-2</v>
      </c>
    </row>
    <row r="61" spans="1:26" s="70" customFormat="1" ht="15" hidden="1" customHeight="1" outlineLevel="2" x14ac:dyDescent="0.3">
      <c r="A61" s="26"/>
      <c r="B61" s="12" t="str">
        <f>CONCATENATE("          ","6008"," - ","STUDENT HOURLY-FICA EXEMPT")</f>
        <v xml:space="preserve">          6008 - STUDENT HOURLY-FICA EXEMPT</v>
      </c>
      <c r="C61" s="12"/>
      <c r="D61" s="8">
        <v>11904</v>
      </c>
      <c r="E61" s="3"/>
      <c r="F61" s="7">
        <f t="shared" si="12"/>
        <v>2.3555701477075457E-2</v>
      </c>
      <c r="G61" s="3"/>
      <c r="H61" s="8">
        <v>0</v>
      </c>
      <c r="I61" s="3"/>
      <c r="J61" s="7">
        <f t="shared" si="13"/>
        <v>0</v>
      </c>
      <c r="K61" s="3"/>
      <c r="L61" s="8">
        <f t="shared" si="14"/>
        <v>11904</v>
      </c>
      <c r="M61" s="3"/>
      <c r="N61" s="7">
        <f t="shared" si="15"/>
        <v>0</v>
      </c>
      <c r="O61" s="12"/>
      <c r="P61" s="8">
        <v>54793.02</v>
      </c>
      <c r="Q61" s="3"/>
      <c r="R61" s="7">
        <f t="shared" si="16"/>
        <v>2.1755358920291061E-2</v>
      </c>
      <c r="S61" s="3"/>
      <c r="T61" s="8">
        <v>62100</v>
      </c>
      <c r="U61" s="3"/>
      <c r="V61" s="7">
        <f t="shared" si="17"/>
        <v>3.1500025108715669E-2</v>
      </c>
      <c r="W61" s="3"/>
      <c r="X61" s="8">
        <f t="shared" si="18"/>
        <v>-7306.9800000000032</v>
      </c>
      <c r="Y61" s="3"/>
      <c r="Z61" s="7">
        <f t="shared" si="19"/>
        <v>-0.11766473429951696</v>
      </c>
    </row>
    <row r="62" spans="1:26" s="70" customFormat="1" ht="15" hidden="1" customHeight="1" outlineLevel="2" x14ac:dyDescent="0.3">
      <c r="A62" s="26"/>
      <c r="B62" s="12" t="str">
        <f>CONCATENATE("          ","6009"," - ","TEMPORARY-SEASONAL")</f>
        <v xml:space="preserve">          6009 - TEMPORARY-SEASONAL</v>
      </c>
      <c r="C62" s="12"/>
      <c r="D62" s="8"/>
      <c r="E62" s="3"/>
      <c r="F62" s="7">
        <f t="shared" si="12"/>
        <v>0</v>
      </c>
      <c r="G62" s="3"/>
      <c r="H62" s="8">
        <v>0</v>
      </c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/>
      <c r="Q62" s="3"/>
      <c r="R62" s="7">
        <f t="shared" si="16"/>
        <v>0</v>
      </c>
      <c r="S62" s="3"/>
      <c r="T62" s="8">
        <v>0</v>
      </c>
      <c r="U62" s="3"/>
      <c r="V62" s="7">
        <f t="shared" si="17"/>
        <v>0</v>
      </c>
      <c r="W62" s="3"/>
      <c r="X62" s="8">
        <f t="shared" si="18"/>
        <v>0</v>
      </c>
      <c r="Y62" s="3"/>
      <c r="Z62" s="7">
        <f t="shared" si="19"/>
        <v>0</v>
      </c>
    </row>
    <row r="63" spans="1:26" s="70" customFormat="1" ht="15" hidden="1" customHeight="1" outlineLevel="2" x14ac:dyDescent="0.3">
      <c r="A63" s="26"/>
      <c r="B63" s="12" t="str">
        <f>CONCATENATE("          ","6010"," - ","GRATUITY")</f>
        <v xml:space="preserve">          6010 - GRATUITY</v>
      </c>
      <c r="C63" s="12"/>
      <c r="D63" s="8"/>
      <c r="E63" s="3"/>
      <c r="F63" s="7">
        <f t="shared" si="12"/>
        <v>0</v>
      </c>
      <c r="G63" s="3"/>
      <c r="H63" s="8">
        <v>0</v>
      </c>
      <c r="I63" s="3"/>
      <c r="J63" s="7">
        <f t="shared" si="13"/>
        <v>0</v>
      </c>
      <c r="K63" s="3"/>
      <c r="L63" s="8">
        <f t="shared" si="14"/>
        <v>0</v>
      </c>
      <c r="M63" s="3"/>
      <c r="N63" s="7">
        <f t="shared" si="15"/>
        <v>0</v>
      </c>
      <c r="O63" s="12"/>
      <c r="P63" s="8"/>
      <c r="Q63" s="3"/>
      <c r="R63" s="7">
        <f t="shared" si="16"/>
        <v>0</v>
      </c>
      <c r="S63" s="3"/>
      <c r="T63" s="8">
        <v>0</v>
      </c>
      <c r="U63" s="3"/>
      <c r="V63" s="7">
        <f t="shared" si="17"/>
        <v>0</v>
      </c>
      <c r="W63" s="3"/>
      <c r="X63" s="8">
        <f t="shared" si="18"/>
        <v>0</v>
      </c>
      <c r="Y63" s="3"/>
      <c r="Z63" s="7">
        <f t="shared" si="19"/>
        <v>0</v>
      </c>
    </row>
    <row r="64" spans="1:26" s="69" customFormat="1" ht="15" customHeight="1" outlineLevel="1" collapsed="1" x14ac:dyDescent="0.3">
      <c r="A64" s="25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316.10000000000002</v>
      </c>
      <c r="E64" s="2"/>
      <c r="F64" s="6">
        <f t="shared" si="12"/>
        <v>6.2550043992805381E-4</v>
      </c>
      <c r="G64" s="2"/>
      <c r="H64" s="2">
        <f>SUM(OSRRefH22_2x_0)</f>
        <v>50</v>
      </c>
      <c r="I64" s="2"/>
      <c r="J64" s="6">
        <f t="shared" si="13"/>
        <v>2.3147612323788801E-4</v>
      </c>
      <c r="K64" s="2"/>
      <c r="L64" s="2">
        <f t="shared" si="14"/>
        <v>266.10000000000002</v>
      </c>
      <c r="M64" s="2"/>
      <c r="N64" s="6">
        <f t="shared" si="15"/>
        <v>5.3220000000000001</v>
      </c>
      <c r="O64" s="14"/>
      <c r="P64" s="2">
        <f>SUM(OSRRefP22_2x_0)</f>
        <v>2932.14</v>
      </c>
      <c r="Q64" s="2"/>
      <c r="R64" s="6">
        <f t="shared" si="16"/>
        <v>1.1641949668870638E-3</v>
      </c>
      <c r="S64" s="2"/>
      <c r="T64" s="2">
        <f>SUM(OSRRefT22_2x_0)</f>
        <v>1800</v>
      </c>
      <c r="U64" s="2"/>
      <c r="V64" s="6">
        <f t="shared" si="17"/>
        <v>9.1304420604972948E-4</v>
      </c>
      <c r="W64" s="2"/>
      <c r="X64" s="2">
        <f t="shared" si="18"/>
        <v>1132.1399999999999</v>
      </c>
      <c r="Y64" s="2"/>
      <c r="Z64" s="6">
        <f t="shared" si="19"/>
        <v>0.62896666666666656</v>
      </c>
    </row>
    <row r="65" spans="1:26" s="70" customFormat="1" ht="15" hidden="1" customHeight="1" outlineLevel="2" x14ac:dyDescent="0.3">
      <c r="A65" s="26"/>
      <c r="B65" s="12" t="str">
        <f>CONCATENATE("          ","6362"," - ","ADVERTISING EXPENSE")</f>
        <v xml:space="preserve">          6362 - ADVERTISING EXPENSE</v>
      </c>
      <c r="C65" s="12"/>
      <c r="D65" s="8">
        <v>316.10000000000002</v>
      </c>
      <c r="E65" s="3"/>
      <c r="F65" s="7">
        <f t="shared" si="12"/>
        <v>6.2550043992805381E-4</v>
      </c>
      <c r="G65" s="3"/>
      <c r="H65" s="8">
        <v>50</v>
      </c>
      <c r="I65" s="3"/>
      <c r="J65" s="7">
        <f t="shared" si="13"/>
        <v>2.3147612323788801E-4</v>
      </c>
      <c r="K65" s="3"/>
      <c r="L65" s="8">
        <f t="shared" si="14"/>
        <v>266.10000000000002</v>
      </c>
      <c r="M65" s="3"/>
      <c r="N65" s="7">
        <f t="shared" si="15"/>
        <v>5.3220000000000001</v>
      </c>
      <c r="O65" s="12"/>
      <c r="P65" s="8">
        <v>2932.14</v>
      </c>
      <c r="Q65" s="3"/>
      <c r="R65" s="7">
        <f t="shared" si="16"/>
        <v>1.1641949668870638E-3</v>
      </c>
      <c r="S65" s="3"/>
      <c r="T65" s="8">
        <v>1800</v>
      </c>
      <c r="U65" s="3"/>
      <c r="V65" s="7">
        <f t="shared" si="17"/>
        <v>9.1304420604972948E-4</v>
      </c>
      <c r="W65" s="3"/>
      <c r="X65" s="8">
        <f t="shared" si="18"/>
        <v>1132.1399999999999</v>
      </c>
      <c r="Y65" s="3"/>
      <c r="Z65" s="7">
        <f t="shared" si="19"/>
        <v>0.62896666666666656</v>
      </c>
    </row>
    <row r="66" spans="1:26" s="69" customFormat="1" ht="15" customHeight="1" outlineLevel="1" collapsed="1" x14ac:dyDescent="0.3">
      <c r="A66" s="25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0</v>
      </c>
      <c r="E66" s="2"/>
      <c r="F66" s="6">
        <f t="shared" si="12"/>
        <v>0</v>
      </c>
      <c r="G66" s="2"/>
      <c r="H66" s="2">
        <f>SUM(OSRRefH22_3x_0)</f>
        <v>0</v>
      </c>
      <c r="I66" s="2"/>
      <c r="J66" s="6">
        <f t="shared" si="13"/>
        <v>0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SUM(OSRRefP22_3x_0)</f>
        <v>0</v>
      </c>
      <c r="Q66" s="2"/>
      <c r="R66" s="6">
        <f t="shared" si="16"/>
        <v>0</v>
      </c>
      <c r="S66" s="2"/>
      <c r="T66" s="2">
        <f>SUM(OSRRefT22_3x_0)</f>
        <v>0</v>
      </c>
      <c r="U66" s="2"/>
      <c r="V66" s="6">
        <f t="shared" si="17"/>
        <v>0</v>
      </c>
      <c r="W66" s="2"/>
      <c r="X66" s="2">
        <f t="shared" si="18"/>
        <v>0</v>
      </c>
      <c r="Y66" s="2"/>
      <c r="Z66" s="6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","6272"," - ","CASH (OVER/SHORT)")</f>
        <v xml:space="preserve">          6272 - CASH (OVER/SHORT)</v>
      </c>
      <c r="C67" s="12"/>
      <c r="D67" s="8"/>
      <c r="E67" s="3"/>
      <c r="F67" s="7">
        <f t="shared" si="12"/>
        <v>0</v>
      </c>
      <c r="G67" s="3"/>
      <c r="H67" s="8">
        <v>0</v>
      </c>
      <c r="I67" s="3"/>
      <c r="J67" s="7">
        <f t="shared" si="13"/>
        <v>0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/>
      <c r="Q67" s="3"/>
      <c r="R67" s="7">
        <f t="shared" si="16"/>
        <v>0</v>
      </c>
      <c r="S67" s="3"/>
      <c r="T67" s="8">
        <v>0</v>
      </c>
      <c r="U67" s="3"/>
      <c r="V67" s="7">
        <f t="shared" si="17"/>
        <v>0</v>
      </c>
      <c r="W67" s="3"/>
      <c r="X67" s="8">
        <f t="shared" si="18"/>
        <v>0</v>
      </c>
      <c r="Y67" s="3"/>
      <c r="Z67" s="7">
        <f t="shared" si="19"/>
        <v>0</v>
      </c>
    </row>
    <row r="68" spans="1:26" s="69" customFormat="1" ht="15" customHeight="1" outlineLevel="1" collapsed="1" x14ac:dyDescent="0.3">
      <c r="A68" s="25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0</v>
      </c>
      <c r="E68" s="2"/>
      <c r="F68" s="6">
        <f t="shared" si="12"/>
        <v>0</v>
      </c>
      <c r="G68" s="2"/>
      <c r="H68" s="2">
        <f>SUM(OSRRefH22_4x_0)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SUM(OSRRefP22_4x_0)</f>
        <v>0</v>
      </c>
      <c r="Q68" s="2"/>
      <c r="R68" s="6">
        <f t="shared" si="16"/>
        <v>0</v>
      </c>
      <c r="S68" s="2"/>
      <c r="T68" s="2">
        <f>SUM(OSRRefT22_4x_0)</f>
        <v>0</v>
      </c>
      <c r="U68" s="2"/>
      <c r="V68" s="6">
        <f t="shared" si="17"/>
        <v>0</v>
      </c>
      <c r="W68" s="2"/>
      <c r="X68" s="2">
        <f t="shared" si="18"/>
        <v>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","6381"," - ","BANK/CREDIT CARD FEES")</f>
        <v xml:space="preserve">          6381 - BANK/CREDIT CARD FEES</v>
      </c>
      <c r="C69" s="12"/>
      <c r="D69" s="8"/>
      <c r="E69" s="3"/>
      <c r="F69" s="7">
        <f t="shared" si="12"/>
        <v>0</v>
      </c>
      <c r="G69" s="3"/>
      <c r="H69" s="8">
        <v>0</v>
      </c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/>
      <c r="Q69" s="3"/>
      <c r="R69" s="7">
        <f t="shared" si="16"/>
        <v>0</v>
      </c>
      <c r="S69" s="3"/>
      <c r="T69" s="8">
        <v>0</v>
      </c>
      <c r="U69" s="3"/>
      <c r="V69" s="7">
        <f t="shared" si="17"/>
        <v>0</v>
      </c>
      <c r="W69" s="3"/>
      <c r="X69" s="8">
        <f t="shared" si="18"/>
        <v>0</v>
      </c>
      <c r="Y69" s="3"/>
      <c r="Z69" s="7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","9175"," - ","EARNED DISCOUNTS")</f>
        <v xml:space="preserve">          9175 - EARNED DISCOUNTS</v>
      </c>
      <c r="C71" s="12"/>
      <c r="D71" s="8"/>
      <c r="E71" s="3"/>
      <c r="F71" s="7">
        <f t="shared" si="12"/>
        <v>0</v>
      </c>
      <c r="G71" s="3"/>
      <c r="H71" s="8"/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0</v>
      </c>
      <c r="Q71" s="3"/>
      <c r="R71" s="7">
        <f t="shared" si="16"/>
        <v>0</v>
      </c>
      <c r="S71" s="3"/>
      <c r="T71" s="8"/>
      <c r="U71" s="3"/>
      <c r="V71" s="7">
        <f t="shared" si="17"/>
        <v>0</v>
      </c>
      <c r="W71" s="3"/>
      <c r="X71" s="8">
        <f t="shared" si="18"/>
        <v>0</v>
      </c>
      <c r="Y71" s="3"/>
      <c r="Z71" s="7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0</v>
      </c>
      <c r="E72" s="2"/>
      <c r="F72" s="6">
        <f t="shared" si="12"/>
        <v>0</v>
      </c>
      <c r="G72" s="2"/>
      <c r="H72" s="2">
        <f>SUM(OSRRefH22_6x_0)</f>
        <v>50</v>
      </c>
      <c r="I72" s="2"/>
      <c r="J72" s="6">
        <f t="shared" si="13"/>
        <v>2.3147612323788801E-4</v>
      </c>
      <c r="K72" s="2"/>
      <c r="L72" s="2">
        <f t="shared" si="14"/>
        <v>-50</v>
      </c>
      <c r="M72" s="2"/>
      <c r="N72" s="6">
        <f t="shared" si="15"/>
        <v>-1</v>
      </c>
      <c r="O72" s="14"/>
      <c r="P72" s="2">
        <f>SUM(OSRRefP22_6x_0)</f>
        <v>216.44</v>
      </c>
      <c r="Q72" s="2"/>
      <c r="R72" s="6">
        <f t="shared" si="16"/>
        <v>8.593667377172854E-5</v>
      </c>
      <c r="S72" s="2"/>
      <c r="T72" s="2">
        <f>SUM(OSRRefT22_6x_0)</f>
        <v>400</v>
      </c>
      <c r="U72" s="2"/>
      <c r="V72" s="6">
        <f t="shared" si="17"/>
        <v>2.0289871245549545E-4</v>
      </c>
      <c r="W72" s="2"/>
      <c r="X72" s="2">
        <f t="shared" si="18"/>
        <v>-183.56</v>
      </c>
      <c r="Y72" s="2"/>
      <c r="Z72" s="6">
        <f t="shared" si="19"/>
        <v>-0.45890000000000003</v>
      </c>
    </row>
    <row r="73" spans="1:26" s="70" customFormat="1" ht="15" hidden="1" customHeight="1" outlineLevel="2" x14ac:dyDescent="0.3">
      <c r="A73" s="26"/>
      <c r="B73" s="12" t="str">
        <f>CONCATENATE("          ","6277"," - ","EMPLOYEE APPRECIATION")</f>
        <v xml:space="preserve">          6277 - EMPLOYEE APPRECIATION</v>
      </c>
      <c r="C73" s="12"/>
      <c r="D73" s="8"/>
      <c r="E73" s="3"/>
      <c r="F73" s="7">
        <f t="shared" si="12"/>
        <v>0</v>
      </c>
      <c r="G73" s="3"/>
      <c r="H73" s="8">
        <v>50</v>
      </c>
      <c r="I73" s="3"/>
      <c r="J73" s="7">
        <f t="shared" si="13"/>
        <v>2.3147612323788801E-4</v>
      </c>
      <c r="K73" s="3"/>
      <c r="L73" s="8">
        <f t="shared" si="14"/>
        <v>-50</v>
      </c>
      <c r="M73" s="3"/>
      <c r="N73" s="7">
        <f t="shared" si="15"/>
        <v>-1</v>
      </c>
      <c r="O73" s="12"/>
      <c r="P73" s="8">
        <v>216.44</v>
      </c>
      <c r="Q73" s="3"/>
      <c r="R73" s="7">
        <f t="shared" si="16"/>
        <v>8.593667377172854E-5</v>
      </c>
      <c r="S73" s="3"/>
      <c r="T73" s="8">
        <v>400</v>
      </c>
      <c r="U73" s="3"/>
      <c r="V73" s="7">
        <f t="shared" si="17"/>
        <v>2.0289871245549545E-4</v>
      </c>
      <c r="W73" s="3"/>
      <c r="X73" s="8">
        <f t="shared" si="18"/>
        <v>-183.56</v>
      </c>
      <c r="Y73" s="3"/>
      <c r="Z73" s="7">
        <f t="shared" si="19"/>
        <v>-0.45890000000000003</v>
      </c>
    </row>
    <row r="74" spans="1:26" s="69" customFormat="1" ht="15" customHeight="1" outlineLevel="1" collapsed="1" x14ac:dyDescent="0.3">
      <c r="A74" s="25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4.7212760479561263E-5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3">
      <c r="A75" s="26"/>
      <c r="B75" s="12" t="str">
        <f>CONCATENATE("          ","6351"," - ","EQUIPMENT RENTAL")</f>
        <v xml:space="preserve">          6351 - EQUIPMENT RENTAL</v>
      </c>
      <c r="C75" s="12"/>
      <c r="D75" s="8"/>
      <c r="E75" s="3"/>
      <c r="F75" s="7">
        <f t="shared" si="20"/>
        <v>0</v>
      </c>
      <c r="G75" s="3"/>
      <c r="H75" s="8"/>
      <c r="I75" s="3"/>
      <c r="J75" s="7">
        <f t="shared" si="21"/>
        <v>0</v>
      </c>
      <c r="K75" s="3"/>
      <c r="L75" s="8">
        <f t="shared" si="22"/>
        <v>0</v>
      </c>
      <c r="M75" s="3"/>
      <c r="N75" s="7">
        <f t="shared" si="23"/>
        <v>0</v>
      </c>
      <c r="O75" s="12"/>
      <c r="P75" s="8">
        <v>118.91</v>
      </c>
      <c r="Q75" s="3"/>
      <c r="R75" s="7">
        <f t="shared" si="24"/>
        <v>4.7212760479561263E-5</v>
      </c>
      <c r="S75" s="3"/>
      <c r="T75" s="8"/>
      <c r="U75" s="3"/>
      <c r="V75" s="7">
        <f t="shared" si="25"/>
        <v>0</v>
      </c>
      <c r="W75" s="3"/>
      <c r="X75" s="8">
        <f t="shared" si="26"/>
        <v>118.91</v>
      </c>
      <c r="Y75" s="3"/>
      <c r="Z75" s="7">
        <f t="shared" si="27"/>
        <v>0</v>
      </c>
    </row>
    <row r="76" spans="1:26" s="69" customFormat="1" ht="15" customHeight="1" outlineLevel="1" collapsed="1" x14ac:dyDescent="0.3">
      <c r="A76" s="25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2.3147612323788801E-4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3.6897103848331923E-4</v>
      </c>
      <c r="S76" s="2"/>
      <c r="T76" s="2">
        <f>SUM(OSRRefT22_8x_0)</f>
        <v>400</v>
      </c>
      <c r="U76" s="2"/>
      <c r="V76" s="6">
        <f t="shared" si="25"/>
        <v>2.0289871245549545E-4</v>
      </c>
      <c r="W76" s="2"/>
      <c r="X76" s="2">
        <f t="shared" si="26"/>
        <v>529.29</v>
      </c>
      <c r="Y76" s="2"/>
      <c r="Z76" s="6">
        <f t="shared" si="27"/>
        <v>1.3232249999999999</v>
      </c>
    </row>
    <row r="77" spans="1:26" s="70" customFormat="1" ht="15" hidden="1" customHeight="1" outlineLevel="2" x14ac:dyDescent="0.3">
      <c r="A77" s="26"/>
      <c r="B77" s="12" t="str">
        <f>CONCATENATE("          ","6305"," - ","FREIGHT OUT")</f>
        <v xml:space="preserve">          6305 - FREIGHT OUT</v>
      </c>
      <c r="C77" s="12"/>
      <c r="D77" s="8"/>
      <c r="E77" s="3"/>
      <c r="F77" s="7">
        <f t="shared" si="20"/>
        <v>0</v>
      </c>
      <c r="G77" s="3"/>
      <c r="H77" s="8">
        <v>50</v>
      </c>
      <c r="I77" s="3"/>
      <c r="J77" s="7">
        <f t="shared" si="21"/>
        <v>2.3147612323788801E-4</v>
      </c>
      <c r="K77" s="3"/>
      <c r="L77" s="8">
        <f t="shared" si="22"/>
        <v>-50</v>
      </c>
      <c r="M77" s="3"/>
      <c r="N77" s="7">
        <f t="shared" si="23"/>
        <v>-1</v>
      </c>
      <c r="O77" s="12"/>
      <c r="P77" s="8">
        <v>893.87</v>
      </c>
      <c r="Q77" s="3"/>
      <c r="R77" s="7">
        <f t="shared" si="24"/>
        <v>3.5490766302132226E-4</v>
      </c>
      <c r="S77" s="3"/>
      <c r="T77" s="8">
        <v>400</v>
      </c>
      <c r="U77" s="3"/>
      <c r="V77" s="7">
        <f t="shared" si="25"/>
        <v>2.0289871245549545E-4</v>
      </c>
      <c r="W77" s="3"/>
      <c r="X77" s="8">
        <f t="shared" si="26"/>
        <v>493.87</v>
      </c>
      <c r="Y77" s="3"/>
      <c r="Z77" s="7">
        <f t="shared" si="27"/>
        <v>1.234675</v>
      </c>
    </row>
    <row r="78" spans="1:26" s="70" customFormat="1" ht="15" hidden="1" customHeight="1" outlineLevel="2" x14ac:dyDescent="0.3">
      <c r="A78" s="26"/>
      <c r="B78" s="12" t="str">
        <f>CONCATENATE("          ","6307"," - ","POSTAGE")</f>
        <v xml:space="preserve">          6307 - POSTAGE</v>
      </c>
      <c r="C78" s="12"/>
      <c r="D78" s="8"/>
      <c r="E78" s="3"/>
      <c r="F78" s="7">
        <f t="shared" si="20"/>
        <v>0</v>
      </c>
      <c r="G78" s="3"/>
      <c r="H78" s="8"/>
      <c r="I78" s="3"/>
      <c r="J78" s="7">
        <f t="shared" si="21"/>
        <v>0</v>
      </c>
      <c r="K78" s="3"/>
      <c r="L78" s="8">
        <f t="shared" si="22"/>
        <v>0</v>
      </c>
      <c r="M78" s="3"/>
      <c r="N78" s="7">
        <f t="shared" si="23"/>
        <v>0</v>
      </c>
      <c r="O78" s="12"/>
      <c r="P78" s="8">
        <v>35.42</v>
      </c>
      <c r="Q78" s="3"/>
      <c r="R78" s="7">
        <f t="shared" si="24"/>
        <v>1.4063375461996974E-5</v>
      </c>
      <c r="S78" s="3"/>
      <c r="T78" s="8"/>
      <c r="U78" s="3"/>
      <c r="V78" s="7">
        <f t="shared" si="25"/>
        <v>0</v>
      </c>
      <c r="W78" s="3"/>
      <c r="X78" s="8">
        <f t="shared" si="26"/>
        <v>35.42</v>
      </c>
      <c r="Y78" s="3"/>
      <c r="Z78" s="7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1157.1099999999999</v>
      </c>
      <c r="E79" s="2"/>
      <c r="F79" s="6">
        <f t="shared" si="20"/>
        <v>2.2896957103611206E-3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1157.1099999999999</v>
      </c>
      <c r="M79" s="2"/>
      <c r="N79" s="6">
        <f t="shared" si="23"/>
        <v>0</v>
      </c>
      <c r="O79" s="14"/>
      <c r="P79" s="2">
        <f>SUM(OSRRefP22_9x_0)</f>
        <v>1157.1099999999999</v>
      </c>
      <c r="Q79" s="2"/>
      <c r="R79" s="6">
        <f t="shared" si="24"/>
        <v>4.5942609770839403E-4</v>
      </c>
      <c r="S79" s="2"/>
      <c r="T79" s="2">
        <f>SUM(OSRRefT22_9x_0)</f>
        <v>0</v>
      </c>
      <c r="U79" s="2"/>
      <c r="V79" s="6">
        <f t="shared" si="25"/>
        <v>0</v>
      </c>
      <c r="W79" s="2"/>
      <c r="X79" s="2">
        <f t="shared" si="26"/>
        <v>1157.1099999999999</v>
      </c>
      <c r="Y79" s="2"/>
      <c r="Z79" s="6">
        <f t="shared" si="27"/>
        <v>0</v>
      </c>
    </row>
    <row r="80" spans="1:26" s="70" customFormat="1" ht="15" hidden="1" customHeight="1" outlineLevel="2" x14ac:dyDescent="0.3">
      <c r="A80" s="26"/>
      <c r="B80" s="12" t="str">
        <f>CONCATENATE("          ","6279"," - ","GENERAL EXPENSE")</f>
        <v xml:space="preserve">          6279 - GENERAL EXPENSE</v>
      </c>
      <c r="C80" s="12"/>
      <c r="D80" s="8">
        <v>1157.1099999999999</v>
      </c>
      <c r="E80" s="3"/>
      <c r="F80" s="7">
        <f t="shared" si="20"/>
        <v>2.2896957103611206E-3</v>
      </c>
      <c r="G80" s="3"/>
      <c r="H80" s="8">
        <v>0</v>
      </c>
      <c r="I80" s="3"/>
      <c r="J80" s="7">
        <f t="shared" si="21"/>
        <v>0</v>
      </c>
      <c r="K80" s="3"/>
      <c r="L80" s="8">
        <f t="shared" si="22"/>
        <v>1157.1099999999999</v>
      </c>
      <c r="M80" s="3"/>
      <c r="N80" s="7">
        <f t="shared" si="23"/>
        <v>0</v>
      </c>
      <c r="O80" s="12"/>
      <c r="P80" s="8">
        <v>1157.1099999999999</v>
      </c>
      <c r="Q80" s="3"/>
      <c r="R80" s="7">
        <f t="shared" si="24"/>
        <v>4.5942609770839403E-4</v>
      </c>
      <c r="S80" s="3"/>
      <c r="T80" s="8">
        <v>0</v>
      </c>
      <c r="U80" s="3"/>
      <c r="V80" s="7">
        <f t="shared" si="25"/>
        <v>0</v>
      </c>
      <c r="W80" s="3"/>
      <c r="X80" s="8">
        <f t="shared" si="26"/>
        <v>1157.1099999999999</v>
      </c>
      <c r="Y80" s="3"/>
      <c r="Z80" s="7">
        <f t="shared" si="27"/>
        <v>0</v>
      </c>
    </row>
    <row r="81" spans="1:26" s="69" customFormat="1" ht="15" customHeight="1" outlineLevel="1" collapsed="1" x14ac:dyDescent="0.3">
      <c r="A81" s="25"/>
      <c r="B81" s="14" t="str">
        <f>CONCATENATE("     ","Inventory Adjustment                              ")</f>
        <v xml:space="preserve">     Inventory Adjustment                              </v>
      </c>
      <c r="C81" s="14"/>
      <c r="D81" s="2">
        <f>SUM(OSRRefD22_10x_0)</f>
        <v>3350</v>
      </c>
      <c r="E81" s="2"/>
      <c r="F81" s="6">
        <f t="shared" si="20"/>
        <v>6.6289986515627331E-3</v>
      </c>
      <c r="G81" s="2"/>
      <c r="H81" s="2">
        <f>SUM(OSRRefH22_10x_0)</f>
        <v>3350</v>
      </c>
      <c r="I81" s="2"/>
      <c r="J81" s="6">
        <f t="shared" si="21"/>
        <v>1.5508900256938497E-2</v>
      </c>
      <c r="K81" s="2"/>
      <c r="L81" s="2">
        <f t="shared" si="22"/>
        <v>0</v>
      </c>
      <c r="M81" s="2"/>
      <c r="N81" s="6">
        <f t="shared" si="23"/>
        <v>0</v>
      </c>
      <c r="O81" s="14"/>
      <c r="P81" s="2">
        <f>SUM(OSRRefP22_10x_0)</f>
        <v>26800</v>
      </c>
      <c r="Q81" s="2"/>
      <c r="R81" s="6">
        <f t="shared" si="24"/>
        <v>1.064083744724785E-2</v>
      </c>
      <c r="S81" s="2"/>
      <c r="T81" s="2">
        <f>SUM(OSRRefT22_10x_0)</f>
        <v>26800</v>
      </c>
      <c r="U81" s="2"/>
      <c r="V81" s="6">
        <f t="shared" si="25"/>
        <v>1.3594213734518194E-2</v>
      </c>
      <c r="W81" s="2"/>
      <c r="X81" s="2">
        <f t="shared" si="26"/>
        <v>0</v>
      </c>
      <c r="Y81" s="2"/>
      <c r="Z81" s="6">
        <f t="shared" si="27"/>
        <v>0</v>
      </c>
    </row>
    <row r="82" spans="1:26" s="70" customFormat="1" ht="15" hidden="1" customHeight="1" outlineLevel="2" x14ac:dyDescent="0.3">
      <c r="A82" s="26"/>
      <c r="B82" s="12" t="str">
        <f>CONCATENATE("          ","6408"," - ","INVENTORY ADJUSTMENT")</f>
        <v xml:space="preserve">          6408 - INVENTORY ADJUSTMENT</v>
      </c>
      <c r="C82" s="12"/>
      <c r="D82" s="8">
        <v>3350</v>
      </c>
      <c r="E82" s="3"/>
      <c r="F82" s="7">
        <f t="shared" si="20"/>
        <v>6.6289986515627331E-3</v>
      </c>
      <c r="G82" s="3"/>
      <c r="H82" s="8">
        <v>3350</v>
      </c>
      <c r="I82" s="3"/>
      <c r="J82" s="7">
        <f t="shared" si="21"/>
        <v>1.5508900256938497E-2</v>
      </c>
      <c r="K82" s="3"/>
      <c r="L82" s="8">
        <f t="shared" si="22"/>
        <v>0</v>
      </c>
      <c r="M82" s="3"/>
      <c r="N82" s="7">
        <f t="shared" si="23"/>
        <v>0</v>
      </c>
      <c r="O82" s="12"/>
      <c r="P82" s="8">
        <v>26800</v>
      </c>
      <c r="Q82" s="3"/>
      <c r="R82" s="7">
        <f t="shared" si="24"/>
        <v>1.064083744724785E-2</v>
      </c>
      <c r="S82" s="3"/>
      <c r="T82" s="8">
        <v>26800</v>
      </c>
      <c r="U82" s="3"/>
      <c r="V82" s="7">
        <f t="shared" si="25"/>
        <v>1.3594213734518194E-2</v>
      </c>
      <c r="W82" s="3"/>
      <c r="X82" s="8">
        <f t="shared" si="26"/>
        <v>0</v>
      </c>
      <c r="Y82" s="3"/>
      <c r="Z82" s="7">
        <f t="shared" si="27"/>
        <v>0</v>
      </c>
    </row>
    <row r="83" spans="1:26" s="69" customFormat="1" ht="15" customHeight="1" outlineLevel="1" collapsed="1" x14ac:dyDescent="0.3">
      <c r="A83" s="25"/>
      <c r="B83" s="14" t="str">
        <f>CONCATENATE("     ","Professional Services                             ")</f>
        <v xml:space="preserve">     Professional Services                             </v>
      </c>
      <c r="C83" s="14"/>
      <c r="D83" s="2">
        <f>SUM(OSRRefD22_11x_0)</f>
        <v>390</v>
      </c>
      <c r="E83" s="2"/>
      <c r="F83" s="6">
        <f t="shared" si="20"/>
        <v>7.7173417137596002E-4</v>
      </c>
      <c r="G83" s="2"/>
      <c r="H83" s="2">
        <f>SUM(OSRRefH22_11x_0)</f>
        <v>0</v>
      </c>
      <c r="I83" s="2"/>
      <c r="J83" s="6">
        <f t="shared" si="21"/>
        <v>0</v>
      </c>
      <c r="K83" s="2"/>
      <c r="L83" s="2">
        <f t="shared" si="22"/>
        <v>390</v>
      </c>
      <c r="M83" s="2"/>
      <c r="N83" s="6">
        <f t="shared" si="23"/>
        <v>0</v>
      </c>
      <c r="O83" s="14"/>
      <c r="P83" s="2">
        <f>SUM(OSRRefP22_11x_0)</f>
        <v>897.64</v>
      </c>
      <c r="Q83" s="2"/>
      <c r="R83" s="6">
        <f t="shared" si="24"/>
        <v>3.5640452709505825E-4</v>
      </c>
      <c r="S83" s="2"/>
      <c r="T83" s="2">
        <f>SUM(OSRRefT22_11x_0)</f>
        <v>750</v>
      </c>
      <c r="U83" s="2"/>
      <c r="V83" s="6">
        <f t="shared" si="25"/>
        <v>3.8043508585405394E-4</v>
      </c>
      <c r="W83" s="2"/>
      <c r="X83" s="2">
        <f t="shared" si="26"/>
        <v>147.63999999999999</v>
      </c>
      <c r="Y83" s="2"/>
      <c r="Z83" s="6">
        <f t="shared" si="27"/>
        <v>0.19685333333333332</v>
      </c>
    </row>
    <row r="84" spans="1:26" s="70" customFormat="1" ht="15" hidden="1" customHeight="1" outlineLevel="2" x14ac:dyDescent="0.3">
      <c r="A84" s="26"/>
      <c r="B84" s="12" t="str">
        <f>CONCATENATE("          ","6336"," - ","PROFESSIONAL SERVICES")</f>
        <v xml:space="preserve">          6336 - PROFESSIONAL SERVICES</v>
      </c>
      <c r="C84" s="12"/>
      <c r="D84" s="8">
        <v>390</v>
      </c>
      <c r="E84" s="3"/>
      <c r="F84" s="7">
        <f t="shared" si="20"/>
        <v>7.7173417137596002E-4</v>
      </c>
      <c r="G84" s="3"/>
      <c r="H84" s="8">
        <v>0</v>
      </c>
      <c r="I84" s="3"/>
      <c r="J84" s="7">
        <f t="shared" si="21"/>
        <v>0</v>
      </c>
      <c r="K84" s="3"/>
      <c r="L84" s="8">
        <f t="shared" si="22"/>
        <v>390</v>
      </c>
      <c r="M84" s="3"/>
      <c r="N84" s="7">
        <f t="shared" si="23"/>
        <v>0</v>
      </c>
      <c r="O84" s="12"/>
      <c r="P84" s="8">
        <v>897.64</v>
      </c>
      <c r="Q84" s="3"/>
      <c r="R84" s="7">
        <f t="shared" si="24"/>
        <v>3.5640452709505825E-4</v>
      </c>
      <c r="S84" s="3"/>
      <c r="T84" s="8">
        <v>750</v>
      </c>
      <c r="U84" s="3"/>
      <c r="V84" s="7">
        <f t="shared" si="25"/>
        <v>3.8043508585405394E-4</v>
      </c>
      <c r="W84" s="3"/>
      <c r="X84" s="8">
        <f t="shared" si="26"/>
        <v>147.63999999999999</v>
      </c>
      <c r="Y84" s="3"/>
      <c r="Z84" s="7">
        <f t="shared" si="27"/>
        <v>0.19685333333333332</v>
      </c>
    </row>
    <row r="85" spans="1:26" s="69" customFormat="1" ht="15" customHeight="1" outlineLevel="1" collapsed="1" x14ac:dyDescent="0.3">
      <c r="A85" s="25"/>
      <c r="B85" s="14" t="str">
        <f>CONCATENATE("     ","Repair and Maintenance                            ")</f>
        <v xml:space="preserve">     Repair and Maintenance                            </v>
      </c>
      <c r="C85" s="14"/>
      <c r="D85" s="2">
        <f>SUM(OSRRefD22_12x_0)</f>
        <v>20.29</v>
      </c>
      <c r="E85" s="2"/>
      <c r="F85" s="6">
        <f t="shared" si="20"/>
        <v>4.0149964967226226E-5</v>
      </c>
      <c r="G85" s="2"/>
      <c r="H85" s="2">
        <f>SUM(OSRRefH22_12x_0)</f>
        <v>0</v>
      </c>
      <c r="I85" s="2"/>
      <c r="J85" s="6">
        <f t="shared" si="21"/>
        <v>0</v>
      </c>
      <c r="K85" s="2"/>
      <c r="L85" s="2">
        <f t="shared" si="22"/>
        <v>20.29</v>
      </c>
      <c r="M85" s="2"/>
      <c r="N85" s="6">
        <f t="shared" si="23"/>
        <v>0</v>
      </c>
      <c r="O85" s="14"/>
      <c r="P85" s="2">
        <f>SUM(OSRRefP22_12x_0)</f>
        <v>1704.58</v>
      </c>
      <c r="Q85" s="2"/>
      <c r="R85" s="6">
        <f t="shared" si="24"/>
        <v>6.767969662623038E-4</v>
      </c>
      <c r="S85" s="2"/>
      <c r="T85" s="2">
        <f>SUM(OSRRefT22_12x_0)</f>
        <v>0</v>
      </c>
      <c r="U85" s="2"/>
      <c r="V85" s="6">
        <f t="shared" si="25"/>
        <v>0</v>
      </c>
      <c r="W85" s="2"/>
      <c r="X85" s="2">
        <f t="shared" si="26"/>
        <v>1704.58</v>
      </c>
      <c r="Y85" s="2"/>
      <c r="Z85" s="6">
        <f t="shared" si="27"/>
        <v>0</v>
      </c>
    </row>
    <row r="86" spans="1:26" s="70" customFormat="1" ht="15" hidden="1" customHeight="1" outlineLevel="2" x14ac:dyDescent="0.3">
      <c r="A86" s="26"/>
      <c r="B86" s="12" t="str">
        <f>CONCATENATE("          ","6373"," - ","MAINTENANCE CONTRACTS")</f>
        <v xml:space="preserve">          6373 - MAINTENANCE CONTRACTS</v>
      </c>
      <c r="C86" s="12"/>
      <c r="D86" s="8">
        <v>12.04</v>
      </c>
      <c r="E86" s="3"/>
      <c r="F86" s="7">
        <f t="shared" si="20"/>
        <v>2.3824819034273224E-5</v>
      </c>
      <c r="G86" s="3"/>
      <c r="H86" s="8"/>
      <c r="I86" s="3"/>
      <c r="J86" s="7">
        <f t="shared" si="21"/>
        <v>0</v>
      </c>
      <c r="K86" s="3"/>
      <c r="L86" s="8">
        <f t="shared" si="22"/>
        <v>12.04</v>
      </c>
      <c r="M86" s="3"/>
      <c r="N86" s="7">
        <f t="shared" si="23"/>
        <v>0</v>
      </c>
      <c r="O86" s="12"/>
      <c r="P86" s="8">
        <v>17.739999999999998</v>
      </c>
      <c r="Q86" s="3"/>
      <c r="R86" s="7">
        <f t="shared" si="24"/>
        <v>7.0435991162006286E-6</v>
      </c>
      <c r="S86" s="3"/>
      <c r="T86" s="8"/>
      <c r="U86" s="3"/>
      <c r="V86" s="7">
        <f t="shared" si="25"/>
        <v>0</v>
      </c>
      <c r="W86" s="3"/>
      <c r="X86" s="8">
        <f t="shared" si="26"/>
        <v>17.739999999999998</v>
      </c>
      <c r="Y86" s="3"/>
      <c r="Z86" s="7">
        <f t="shared" si="27"/>
        <v>0</v>
      </c>
    </row>
    <row r="87" spans="1:26" s="70" customFormat="1" ht="15" hidden="1" customHeight="1" outlineLevel="2" x14ac:dyDescent="0.3">
      <c r="A87" s="26"/>
      <c r="B87" s="12" t="str">
        <f>CONCATENATE("          ","6375"," - ","OUTSIDE REPAIRS &amp; MAINTENANCE")</f>
        <v xml:space="preserve">          6375 - OUTSIDE REPAIRS &amp; MAINTENANCE</v>
      </c>
      <c r="C87" s="12"/>
      <c r="D87" s="8">
        <v>8.25</v>
      </c>
      <c r="E87" s="3"/>
      <c r="F87" s="7">
        <f t="shared" si="20"/>
        <v>1.6325145932953002E-5</v>
      </c>
      <c r="G87" s="3"/>
      <c r="H87" s="8">
        <v>0</v>
      </c>
      <c r="I87" s="3"/>
      <c r="J87" s="7">
        <f t="shared" si="21"/>
        <v>0</v>
      </c>
      <c r="K87" s="3"/>
      <c r="L87" s="8">
        <f t="shared" si="22"/>
        <v>8.25</v>
      </c>
      <c r="M87" s="3"/>
      <c r="N87" s="7">
        <f t="shared" si="23"/>
        <v>0</v>
      </c>
      <c r="O87" s="12"/>
      <c r="P87" s="8">
        <v>1686.84</v>
      </c>
      <c r="Q87" s="3"/>
      <c r="R87" s="7">
        <f t="shared" si="24"/>
        <v>6.6975336714610316E-4</v>
      </c>
      <c r="S87" s="3"/>
      <c r="T87" s="8">
        <v>0</v>
      </c>
      <c r="U87" s="3"/>
      <c r="V87" s="7">
        <f t="shared" si="25"/>
        <v>0</v>
      </c>
      <c r="W87" s="3"/>
      <c r="X87" s="8">
        <f t="shared" si="26"/>
        <v>1686.84</v>
      </c>
      <c r="Y87" s="3"/>
      <c r="Z87" s="7">
        <f t="shared" si="27"/>
        <v>0</v>
      </c>
    </row>
    <row r="88" spans="1:26" s="69" customFormat="1" ht="15" customHeight="1" outlineLevel="1" collapsed="1" x14ac:dyDescent="0.3">
      <c r="A88" s="25"/>
      <c r="B88" s="14" t="str">
        <f>CONCATENATE("     ","Royalty &amp; Commissions                             ")</f>
        <v xml:space="preserve">     Royalty &amp; Commissions                             </v>
      </c>
      <c r="C88" s="14"/>
      <c r="D88" s="2">
        <f>SUM(OSRRefD22_13x_0)</f>
        <v>3147.46</v>
      </c>
      <c r="E88" s="2"/>
      <c r="F88" s="6">
        <f t="shared" si="20"/>
        <v>6.2282113718948179E-3</v>
      </c>
      <c r="G88" s="2"/>
      <c r="H88" s="2">
        <f>SUM(OSRRefH22_13x_0)</f>
        <v>1446</v>
      </c>
      <c r="I88" s="2"/>
      <c r="J88" s="6">
        <f t="shared" si="21"/>
        <v>6.6942894840397215E-3</v>
      </c>
      <c r="K88" s="2"/>
      <c r="L88" s="2">
        <f t="shared" si="22"/>
        <v>1701.46</v>
      </c>
      <c r="M88" s="2"/>
      <c r="N88" s="6">
        <f t="shared" si="23"/>
        <v>1.1766666666666667</v>
      </c>
      <c r="O88" s="14"/>
      <c r="P88" s="2">
        <f>SUM(OSRRefP22_13x_0)</f>
        <v>42730.310000000005</v>
      </c>
      <c r="Q88" s="2"/>
      <c r="R88" s="6">
        <f t="shared" si="24"/>
        <v>1.6965906073899605E-2</v>
      </c>
      <c r="S88" s="2"/>
      <c r="T88" s="2">
        <f>SUM(OSRRefT22_13x_0)</f>
        <v>36944</v>
      </c>
      <c r="U88" s="2"/>
      <c r="V88" s="6">
        <f t="shared" si="25"/>
        <v>1.8739725082389559E-2</v>
      </c>
      <c r="W88" s="2"/>
      <c r="X88" s="2">
        <f t="shared" si="26"/>
        <v>5786.3100000000049</v>
      </c>
      <c r="Y88" s="2"/>
      <c r="Z88" s="6">
        <f t="shared" si="27"/>
        <v>0.15662380900822881</v>
      </c>
    </row>
    <row r="89" spans="1:26" s="70" customFormat="1" ht="15" hidden="1" customHeight="1" outlineLevel="2" x14ac:dyDescent="0.3">
      <c r="A89" s="26"/>
      <c r="B89" s="12" t="str">
        <f>CONCATENATE("          ","6252"," - ","ROYALTY DUE CSTV")</f>
        <v xml:space="preserve">          6252 - ROYALTY DUE CSTV</v>
      </c>
      <c r="C89" s="12"/>
      <c r="D89" s="8"/>
      <c r="E89" s="3"/>
      <c r="F89" s="7">
        <f t="shared" si="20"/>
        <v>0</v>
      </c>
      <c r="G89" s="3"/>
      <c r="H89" s="8">
        <v>446</v>
      </c>
      <c r="I89" s="3"/>
      <c r="J89" s="7">
        <f t="shared" si="21"/>
        <v>2.0647670192819609E-3</v>
      </c>
      <c r="K89" s="3"/>
      <c r="L89" s="8">
        <f t="shared" si="22"/>
        <v>-446</v>
      </c>
      <c r="M89" s="3"/>
      <c r="N89" s="7">
        <f t="shared" si="23"/>
        <v>-1</v>
      </c>
      <c r="O89" s="12"/>
      <c r="P89" s="8"/>
      <c r="Q89" s="3"/>
      <c r="R89" s="7">
        <f t="shared" si="24"/>
        <v>0</v>
      </c>
      <c r="S89" s="3"/>
      <c r="T89" s="8">
        <v>11497</v>
      </c>
      <c r="U89" s="3"/>
      <c r="V89" s="7">
        <f t="shared" si="25"/>
        <v>5.8318162427520772E-3</v>
      </c>
      <c r="W89" s="3"/>
      <c r="X89" s="8">
        <f t="shared" si="26"/>
        <v>-11497</v>
      </c>
      <c r="Y89" s="3"/>
      <c r="Z89" s="7">
        <f t="shared" si="27"/>
        <v>-1</v>
      </c>
    </row>
    <row r="90" spans="1:26" s="70" customFormat="1" ht="15" hidden="1" customHeight="1" outlineLevel="2" x14ac:dyDescent="0.3">
      <c r="A90" s="26"/>
      <c r="B90" s="12" t="str">
        <f>CONCATENATE("          ","6253"," - ","ROYALTY DUE ATHLETICS-LRG")</f>
        <v xml:space="preserve">          6253 - ROYALTY DUE ATHLETICS-LRG</v>
      </c>
      <c r="C90" s="12"/>
      <c r="D90" s="8"/>
      <c r="E90" s="3"/>
      <c r="F90" s="7">
        <f t="shared" si="20"/>
        <v>0</v>
      </c>
      <c r="G90" s="3"/>
      <c r="H90" s="8">
        <v>0</v>
      </c>
      <c r="I90" s="3"/>
      <c r="J90" s="7">
        <f t="shared" si="21"/>
        <v>0</v>
      </c>
      <c r="K90" s="3"/>
      <c r="L90" s="8">
        <f t="shared" si="22"/>
        <v>0</v>
      </c>
      <c r="M90" s="3"/>
      <c r="N90" s="7">
        <f t="shared" si="23"/>
        <v>0</v>
      </c>
      <c r="O90" s="12"/>
      <c r="P90" s="8">
        <v>39221.160000000003</v>
      </c>
      <c r="Q90" s="3"/>
      <c r="R90" s="7">
        <f t="shared" si="24"/>
        <v>1.5572611494496251E-2</v>
      </c>
      <c r="S90" s="3"/>
      <c r="T90" s="8">
        <v>23947</v>
      </c>
      <c r="U90" s="3"/>
      <c r="V90" s="7">
        <f t="shared" si="25"/>
        <v>1.2147038667929372E-2</v>
      </c>
      <c r="W90" s="3"/>
      <c r="X90" s="8">
        <f t="shared" si="26"/>
        <v>15274.160000000003</v>
      </c>
      <c r="Y90" s="3"/>
      <c r="Z90" s="7">
        <f t="shared" si="27"/>
        <v>0.63783187873220037</v>
      </c>
    </row>
    <row r="91" spans="1:26" s="70" customFormat="1" ht="15" hidden="1" customHeight="1" outlineLevel="2" x14ac:dyDescent="0.3">
      <c r="A91" s="26"/>
      <c r="B91" s="12" t="str">
        <f>CONCATENATE("          ","6254"," - ","ROYALTY &amp; COMMISSIONS")</f>
        <v xml:space="preserve">          6254 - ROYALTY &amp; COMMISSIONS</v>
      </c>
      <c r="C91" s="12"/>
      <c r="D91" s="8">
        <v>3147.46</v>
      </c>
      <c r="E91" s="3"/>
      <c r="F91" s="7">
        <f t="shared" si="20"/>
        <v>6.2282113718948179E-3</v>
      </c>
      <c r="G91" s="3"/>
      <c r="H91" s="8">
        <v>1000</v>
      </c>
      <c r="I91" s="3"/>
      <c r="J91" s="7">
        <f t="shared" si="21"/>
        <v>4.6295224647577606E-3</v>
      </c>
      <c r="K91" s="3"/>
      <c r="L91" s="8">
        <f t="shared" si="22"/>
        <v>2147.46</v>
      </c>
      <c r="M91" s="3"/>
      <c r="N91" s="7">
        <f t="shared" si="23"/>
        <v>2.1474600000000001</v>
      </c>
      <c r="O91" s="12"/>
      <c r="P91" s="8">
        <v>3509.15</v>
      </c>
      <c r="Q91" s="3"/>
      <c r="R91" s="7">
        <f t="shared" si="24"/>
        <v>1.3932945794033506E-3</v>
      </c>
      <c r="S91" s="3"/>
      <c r="T91" s="8">
        <v>1500</v>
      </c>
      <c r="U91" s="3"/>
      <c r="V91" s="7">
        <f t="shared" si="25"/>
        <v>7.6087017170810788E-4</v>
      </c>
      <c r="W91" s="3"/>
      <c r="X91" s="8">
        <f t="shared" si="26"/>
        <v>2009.15</v>
      </c>
      <c r="Y91" s="3"/>
      <c r="Z91" s="7">
        <f t="shared" si="27"/>
        <v>1.3394333333333335</v>
      </c>
    </row>
    <row r="92" spans="1:26" s="69" customFormat="1" ht="15" customHeight="1" outlineLevel="1" collapsed="1" x14ac:dyDescent="0.3">
      <c r="A92" s="25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2">
        <f>SUM(OSRRefD22_14x_0)</f>
        <v>0</v>
      </c>
      <c r="E92" s="2"/>
      <c r="F92" s="6">
        <f t="shared" si="20"/>
        <v>0</v>
      </c>
      <c r="G92" s="2"/>
      <c r="H92" s="2">
        <f>SUM(OSRRefH22_14x_0)</f>
        <v>100</v>
      </c>
      <c r="I92" s="2"/>
      <c r="J92" s="6">
        <f t="shared" si="21"/>
        <v>4.6295224647577602E-4</v>
      </c>
      <c r="K92" s="2"/>
      <c r="L92" s="2">
        <f t="shared" si="22"/>
        <v>-100</v>
      </c>
      <c r="M92" s="2"/>
      <c r="N92" s="6">
        <f t="shared" si="23"/>
        <v>-1</v>
      </c>
      <c r="O92" s="14"/>
      <c r="P92" s="2">
        <f>SUM(OSRRefP22_14x_0)</f>
        <v>0</v>
      </c>
      <c r="Q92" s="2"/>
      <c r="R92" s="6">
        <f t="shared" si="24"/>
        <v>0</v>
      </c>
      <c r="S92" s="2"/>
      <c r="T92" s="2">
        <f>SUM(OSRRefT22_14x_0)</f>
        <v>1200</v>
      </c>
      <c r="U92" s="2"/>
      <c r="V92" s="6">
        <f t="shared" si="25"/>
        <v>6.0869613736648628E-4</v>
      </c>
      <c r="W92" s="2"/>
      <c r="X92" s="2">
        <f t="shared" si="26"/>
        <v>-1200</v>
      </c>
      <c r="Y92" s="2"/>
      <c r="Z92" s="6">
        <f t="shared" si="27"/>
        <v>-1</v>
      </c>
    </row>
    <row r="93" spans="1:26" s="70" customFormat="1" ht="15" hidden="1" customHeight="1" outlineLevel="2" x14ac:dyDescent="0.3">
      <c r="A93" s="26"/>
      <c r="B93" s="12" t="str">
        <f>CONCATENATE("          ","6258"," - ","MEMBERSHIP DUES")</f>
        <v xml:space="preserve">          6258 - MEMBERSHIP DUES</v>
      </c>
      <c r="C93" s="12"/>
      <c r="D93" s="8"/>
      <c r="E93" s="3"/>
      <c r="F93" s="7">
        <f t="shared" si="20"/>
        <v>0</v>
      </c>
      <c r="G93" s="3"/>
      <c r="H93" s="8">
        <v>0</v>
      </c>
      <c r="I93" s="3"/>
      <c r="J93" s="7">
        <f t="shared" si="21"/>
        <v>0</v>
      </c>
      <c r="K93" s="3"/>
      <c r="L93" s="8">
        <f t="shared" si="22"/>
        <v>0</v>
      </c>
      <c r="M93" s="3"/>
      <c r="N93" s="7">
        <f t="shared" si="23"/>
        <v>0</v>
      </c>
      <c r="O93" s="12"/>
      <c r="P93" s="8"/>
      <c r="Q93" s="3"/>
      <c r="R93" s="7">
        <f t="shared" si="24"/>
        <v>0</v>
      </c>
      <c r="S93" s="3"/>
      <c r="T93" s="8">
        <v>1000</v>
      </c>
      <c r="U93" s="3"/>
      <c r="V93" s="7">
        <f t="shared" si="25"/>
        <v>5.0724678113873859E-4</v>
      </c>
      <c r="W93" s="3"/>
      <c r="X93" s="8">
        <f t="shared" si="26"/>
        <v>-1000</v>
      </c>
      <c r="Y93" s="3"/>
      <c r="Z93" s="7">
        <f t="shared" si="27"/>
        <v>-1</v>
      </c>
    </row>
    <row r="94" spans="1:26" s="70" customFormat="1" ht="15" hidden="1" customHeight="1" outlineLevel="2" x14ac:dyDescent="0.3">
      <c r="A94" s="26"/>
      <c r="B94" s="12" t="str">
        <f>CONCATENATE("          ","6275"," - ","SUBSCRIPTIONS")</f>
        <v xml:space="preserve">          6275 - SUBSCRIPTIONS</v>
      </c>
      <c r="C94" s="12"/>
      <c r="D94" s="8"/>
      <c r="E94" s="3"/>
      <c r="F94" s="7">
        <f t="shared" si="20"/>
        <v>0</v>
      </c>
      <c r="G94" s="3"/>
      <c r="H94" s="8">
        <v>100</v>
      </c>
      <c r="I94" s="3"/>
      <c r="J94" s="7">
        <f t="shared" si="21"/>
        <v>4.6295224647577602E-4</v>
      </c>
      <c r="K94" s="3"/>
      <c r="L94" s="8">
        <f t="shared" si="22"/>
        <v>-100</v>
      </c>
      <c r="M94" s="3"/>
      <c r="N94" s="7">
        <f t="shared" si="23"/>
        <v>-1</v>
      </c>
      <c r="O94" s="12"/>
      <c r="P94" s="8"/>
      <c r="Q94" s="3"/>
      <c r="R94" s="7">
        <f t="shared" si="24"/>
        <v>0</v>
      </c>
      <c r="S94" s="3"/>
      <c r="T94" s="8">
        <v>200</v>
      </c>
      <c r="U94" s="3"/>
      <c r="V94" s="7">
        <f t="shared" si="25"/>
        <v>1.0144935622774772E-4</v>
      </c>
      <c r="W94" s="3"/>
      <c r="X94" s="8">
        <f t="shared" si="26"/>
        <v>-200</v>
      </c>
      <c r="Y94" s="3"/>
      <c r="Z94" s="7">
        <f t="shared" si="27"/>
        <v>-1</v>
      </c>
    </row>
    <row r="95" spans="1:26" s="69" customFormat="1" ht="15" customHeight="1" outlineLevel="1" collapsed="1" x14ac:dyDescent="0.3">
      <c r="A95" s="25"/>
      <c r="B95" s="14" t="str">
        <f>CONCATENATE("     ","Supplies                                          ")</f>
        <v xml:space="preserve">     Supplies                                          </v>
      </c>
      <c r="C95" s="14"/>
      <c r="D95" s="2">
        <f>SUM(OSRRefD22_15x_0)</f>
        <v>473.25</v>
      </c>
      <c r="E95" s="2"/>
      <c r="F95" s="6">
        <f t="shared" si="20"/>
        <v>9.3646973488121306E-4</v>
      </c>
      <c r="G95" s="2"/>
      <c r="H95" s="2">
        <f>SUM(OSRRefH22_15x_0)</f>
        <v>75</v>
      </c>
      <c r="I95" s="2"/>
      <c r="J95" s="6">
        <f t="shared" si="21"/>
        <v>3.4721418485683203E-4</v>
      </c>
      <c r="K95" s="2"/>
      <c r="L95" s="2">
        <f t="shared" si="22"/>
        <v>398.25</v>
      </c>
      <c r="M95" s="2"/>
      <c r="N95" s="6">
        <f t="shared" si="23"/>
        <v>5.31</v>
      </c>
      <c r="O95" s="14"/>
      <c r="P95" s="2">
        <f>SUM(OSRRefP22_15x_0)</f>
        <v>8160.2199999999993</v>
      </c>
      <c r="Q95" s="2"/>
      <c r="R95" s="6">
        <f t="shared" si="24"/>
        <v>3.2399841251410763E-3</v>
      </c>
      <c r="S95" s="2"/>
      <c r="T95" s="2">
        <f>SUM(OSRRefT22_15x_0)</f>
        <v>600</v>
      </c>
      <c r="U95" s="2"/>
      <c r="V95" s="6">
        <f t="shared" si="25"/>
        <v>3.0434806868324314E-4</v>
      </c>
      <c r="W95" s="2"/>
      <c r="X95" s="2">
        <f t="shared" si="26"/>
        <v>7560.2199999999993</v>
      </c>
      <c r="Y95" s="2"/>
      <c r="Z95" s="6">
        <f t="shared" si="27"/>
        <v>12.600366666666666</v>
      </c>
    </row>
    <row r="96" spans="1:26" s="70" customFormat="1" ht="15" hidden="1" customHeight="1" outlineLevel="2" x14ac:dyDescent="0.3">
      <c r="A96" s="26"/>
      <c r="B96" s="12" t="str">
        <f>CONCATENATE("          ","6235"," - ","COVID-19 EXPENSES")</f>
        <v xml:space="preserve">          6235 - COVID-19 EXPENSES</v>
      </c>
      <c r="C96" s="12"/>
      <c r="D96" s="8"/>
      <c r="E96" s="3"/>
      <c r="F96" s="7">
        <f t="shared" si="20"/>
        <v>0</v>
      </c>
      <c r="G96" s="3"/>
      <c r="H96" s="8">
        <v>0</v>
      </c>
      <c r="I96" s="3"/>
      <c r="J96" s="7">
        <f t="shared" si="21"/>
        <v>0</v>
      </c>
      <c r="K96" s="3"/>
      <c r="L96" s="8">
        <f t="shared" si="22"/>
        <v>0</v>
      </c>
      <c r="M96" s="3"/>
      <c r="N96" s="7">
        <f t="shared" si="23"/>
        <v>0</v>
      </c>
      <c r="O96" s="12"/>
      <c r="P96" s="8"/>
      <c r="Q96" s="3"/>
      <c r="R96" s="7">
        <f t="shared" si="24"/>
        <v>0</v>
      </c>
      <c r="S96" s="3"/>
      <c r="T96" s="8">
        <v>0</v>
      </c>
      <c r="U96" s="3"/>
      <c r="V96" s="7">
        <f t="shared" si="25"/>
        <v>0</v>
      </c>
      <c r="W96" s="3"/>
      <c r="X96" s="8">
        <f t="shared" si="26"/>
        <v>0</v>
      </c>
      <c r="Y96" s="3"/>
      <c r="Z96" s="7">
        <f t="shared" si="27"/>
        <v>0</v>
      </c>
    </row>
    <row r="97" spans="1:26" s="70" customFormat="1" ht="15" hidden="1" customHeight="1" outlineLevel="2" x14ac:dyDescent="0.3">
      <c r="A97" s="26"/>
      <c r="B97" s="12" t="str">
        <f>CONCATENATE("          ","6241"," - ","OFFICE EXPENSE")</f>
        <v xml:space="preserve">          6241 - OFFICE EXPENSE</v>
      </c>
      <c r="C97" s="12"/>
      <c r="D97" s="8">
        <v>473.25</v>
      </c>
      <c r="E97" s="3"/>
      <c r="F97" s="7">
        <f t="shared" si="20"/>
        <v>9.3646973488121306E-4</v>
      </c>
      <c r="G97" s="3"/>
      <c r="H97" s="8">
        <v>25</v>
      </c>
      <c r="I97" s="3"/>
      <c r="J97" s="7">
        <f t="shared" si="21"/>
        <v>1.1573806161894401E-4</v>
      </c>
      <c r="K97" s="3"/>
      <c r="L97" s="8">
        <f t="shared" si="22"/>
        <v>448.25</v>
      </c>
      <c r="M97" s="3"/>
      <c r="N97" s="7">
        <f t="shared" si="23"/>
        <v>17.93</v>
      </c>
      <c r="O97" s="12"/>
      <c r="P97" s="8">
        <v>1663.31</v>
      </c>
      <c r="Q97" s="3"/>
      <c r="R97" s="7">
        <f t="shared" si="24"/>
        <v>6.6041087068588889E-4</v>
      </c>
      <c r="S97" s="3"/>
      <c r="T97" s="8">
        <v>200</v>
      </c>
      <c r="U97" s="3"/>
      <c r="V97" s="7">
        <f t="shared" si="25"/>
        <v>1.0144935622774772E-4</v>
      </c>
      <c r="W97" s="3"/>
      <c r="X97" s="8">
        <f t="shared" si="26"/>
        <v>1463.31</v>
      </c>
      <c r="Y97" s="3"/>
      <c r="Z97" s="7">
        <f t="shared" si="27"/>
        <v>7.3165499999999994</v>
      </c>
    </row>
    <row r="98" spans="1:26" s="70" customFormat="1" ht="15" hidden="1" customHeight="1" outlineLevel="2" x14ac:dyDescent="0.3">
      <c r="A98" s="26"/>
      <c r="B98" s="12" t="str">
        <f>CONCATENATE("          ","6245"," - ","PRINTING")</f>
        <v xml:space="preserve">          6245 - PRINTING</v>
      </c>
      <c r="C98" s="12"/>
      <c r="D98" s="8"/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>
        <v>24.75</v>
      </c>
      <c r="Q98" s="3"/>
      <c r="R98" s="7">
        <f t="shared" si="24"/>
        <v>9.8268927917680714E-6</v>
      </c>
      <c r="S98" s="3"/>
      <c r="T98" s="8"/>
      <c r="U98" s="3"/>
      <c r="V98" s="7">
        <f t="shared" si="25"/>
        <v>0</v>
      </c>
      <c r="W98" s="3"/>
      <c r="X98" s="8">
        <f t="shared" si="26"/>
        <v>24.75</v>
      </c>
      <c r="Y98" s="3"/>
      <c r="Z98" s="7">
        <f t="shared" si="27"/>
        <v>0</v>
      </c>
    </row>
    <row r="99" spans="1:26" s="70" customFormat="1" ht="15" hidden="1" customHeight="1" outlineLevel="2" x14ac:dyDescent="0.3">
      <c r="A99" s="26"/>
      <c r="B99" s="12" t="str">
        <f>CONCATENATE("          ","6247"," - ","STORE SUPPLIES")</f>
        <v xml:space="preserve">          6247 - STORE SUPPLIES</v>
      </c>
      <c r="C99" s="12"/>
      <c r="D99" s="8"/>
      <c r="E99" s="3"/>
      <c r="F99" s="7">
        <f t="shared" si="20"/>
        <v>0</v>
      </c>
      <c r="G99" s="3"/>
      <c r="H99" s="8">
        <v>50</v>
      </c>
      <c r="I99" s="3"/>
      <c r="J99" s="7">
        <f t="shared" si="21"/>
        <v>2.3147612323788801E-4</v>
      </c>
      <c r="K99" s="3"/>
      <c r="L99" s="8">
        <f t="shared" si="22"/>
        <v>-50</v>
      </c>
      <c r="M99" s="3"/>
      <c r="N99" s="7">
        <f t="shared" si="23"/>
        <v>-1</v>
      </c>
      <c r="O99" s="12"/>
      <c r="P99" s="8">
        <v>6472.16</v>
      </c>
      <c r="Q99" s="3"/>
      <c r="R99" s="7">
        <f t="shared" si="24"/>
        <v>2.5697463616634196E-3</v>
      </c>
      <c r="S99" s="3"/>
      <c r="T99" s="8">
        <v>400</v>
      </c>
      <c r="U99" s="3"/>
      <c r="V99" s="7">
        <f t="shared" si="25"/>
        <v>2.0289871245549545E-4</v>
      </c>
      <c r="W99" s="3"/>
      <c r="X99" s="8">
        <f t="shared" si="26"/>
        <v>6072.16</v>
      </c>
      <c r="Y99" s="3"/>
      <c r="Z99" s="7">
        <f t="shared" si="27"/>
        <v>15.180399999999999</v>
      </c>
    </row>
    <row r="100" spans="1:26" s="69" customFormat="1" ht="15" customHeight="1" outlineLevel="1" collapsed="1" x14ac:dyDescent="0.3">
      <c r="A100" s="25"/>
      <c r="B100" s="14" t="str">
        <f>CONCATENATE("     ","Telephone/Data Lines                              ")</f>
        <v xml:space="preserve">     Telephone/Data Lines                              </v>
      </c>
      <c r="C100" s="14"/>
      <c r="D100" s="2">
        <f>SUM(OSRRefD22_16x_0)</f>
        <v>235.95</v>
      </c>
      <c r="E100" s="2"/>
      <c r="F100" s="6">
        <f t="shared" si="20"/>
        <v>4.6689917368245579E-4</v>
      </c>
      <c r="G100" s="2"/>
      <c r="H100" s="2">
        <f>SUM(OSRRefH22_16x_0)</f>
        <v>300</v>
      </c>
      <c r="I100" s="2"/>
      <c r="J100" s="6">
        <f t="shared" si="21"/>
        <v>1.3888567394273281E-3</v>
      </c>
      <c r="K100" s="2"/>
      <c r="L100" s="2">
        <f t="shared" si="22"/>
        <v>-64.050000000000011</v>
      </c>
      <c r="M100" s="2"/>
      <c r="N100" s="6">
        <f t="shared" si="23"/>
        <v>-0.21350000000000005</v>
      </c>
      <c r="O100" s="14"/>
      <c r="P100" s="2">
        <f>SUM(OSRRefP22_16x_0)</f>
        <v>1651.85</v>
      </c>
      <c r="Q100" s="2"/>
      <c r="R100" s="6">
        <f t="shared" si="24"/>
        <v>6.5586072153867015E-4</v>
      </c>
      <c r="S100" s="2"/>
      <c r="T100" s="2">
        <f>SUM(OSRRefT22_16x_0)</f>
        <v>2400</v>
      </c>
      <c r="U100" s="2"/>
      <c r="V100" s="6">
        <f t="shared" si="25"/>
        <v>1.2173922747329726E-3</v>
      </c>
      <c r="W100" s="2"/>
      <c r="X100" s="2">
        <f t="shared" si="26"/>
        <v>-748.15000000000009</v>
      </c>
      <c r="Y100" s="2"/>
      <c r="Z100" s="6">
        <f t="shared" si="27"/>
        <v>-0.31172916666666672</v>
      </c>
    </row>
    <row r="101" spans="1:26" s="70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8">
        <v>235.95</v>
      </c>
      <c r="E101" s="3"/>
      <c r="F101" s="7">
        <f t="shared" si="20"/>
        <v>4.6689917368245579E-4</v>
      </c>
      <c r="G101" s="3"/>
      <c r="H101" s="8">
        <v>300</v>
      </c>
      <c r="I101" s="3"/>
      <c r="J101" s="7">
        <f t="shared" si="21"/>
        <v>1.3888567394273281E-3</v>
      </c>
      <c r="K101" s="3"/>
      <c r="L101" s="8">
        <f t="shared" si="22"/>
        <v>-64.050000000000011</v>
      </c>
      <c r="M101" s="3"/>
      <c r="N101" s="7">
        <f t="shared" si="23"/>
        <v>-0.21350000000000005</v>
      </c>
      <c r="O101" s="12"/>
      <c r="P101" s="8">
        <v>1651.85</v>
      </c>
      <c r="Q101" s="3"/>
      <c r="R101" s="7">
        <f t="shared" si="24"/>
        <v>6.5586072153867015E-4</v>
      </c>
      <c r="S101" s="3"/>
      <c r="T101" s="8">
        <v>2400</v>
      </c>
      <c r="U101" s="3"/>
      <c r="V101" s="7">
        <f t="shared" si="25"/>
        <v>1.2173922747329726E-3</v>
      </c>
      <c r="W101" s="3"/>
      <c r="X101" s="8">
        <f t="shared" si="26"/>
        <v>-748.15000000000009</v>
      </c>
      <c r="Y101" s="3"/>
      <c r="Z101" s="7">
        <f t="shared" si="27"/>
        <v>-0.31172916666666672</v>
      </c>
    </row>
    <row r="102" spans="1:26" s="69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SUM(OSRRefD22_17x_0)</f>
        <v>300</v>
      </c>
      <c r="E102" s="2"/>
      <c r="F102" s="6">
        <f t="shared" si="20"/>
        <v>5.9364167028920002E-4</v>
      </c>
      <c r="G102" s="2"/>
      <c r="H102" s="2">
        <f>SUM(OSRRefH22_17x_0)</f>
        <v>0</v>
      </c>
      <c r="I102" s="2"/>
      <c r="J102" s="6">
        <f t="shared" si="21"/>
        <v>0</v>
      </c>
      <c r="K102" s="2"/>
      <c r="L102" s="2">
        <f t="shared" si="22"/>
        <v>300</v>
      </c>
      <c r="M102" s="2"/>
      <c r="N102" s="6">
        <f t="shared" si="23"/>
        <v>0</v>
      </c>
      <c r="O102" s="14"/>
      <c r="P102" s="2">
        <f>SUM(OSRRefP22_17x_0)</f>
        <v>300</v>
      </c>
      <c r="Q102" s="2"/>
      <c r="R102" s="6">
        <f t="shared" si="24"/>
        <v>1.1911385202143116E-4</v>
      </c>
      <c r="S102" s="2"/>
      <c r="T102" s="2">
        <f>SUM(OSRRefT22_17x_0)</f>
        <v>0</v>
      </c>
      <c r="U102" s="2"/>
      <c r="V102" s="6">
        <f t="shared" si="25"/>
        <v>0</v>
      </c>
      <c r="W102" s="2"/>
      <c r="X102" s="2">
        <f t="shared" si="26"/>
        <v>300</v>
      </c>
      <c r="Y102" s="2"/>
      <c r="Z102" s="6">
        <f t="shared" si="27"/>
        <v>0</v>
      </c>
    </row>
    <row r="103" spans="1:26" s="70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8">
        <v>300</v>
      </c>
      <c r="E103" s="3"/>
      <c r="F103" s="7">
        <f t="shared" si="20"/>
        <v>5.9364167028920002E-4</v>
      </c>
      <c r="G103" s="3"/>
      <c r="H103" s="8"/>
      <c r="I103" s="3"/>
      <c r="J103" s="7">
        <f t="shared" si="21"/>
        <v>0</v>
      </c>
      <c r="K103" s="3"/>
      <c r="L103" s="8">
        <f t="shared" si="22"/>
        <v>300</v>
      </c>
      <c r="M103" s="3"/>
      <c r="N103" s="7">
        <f t="shared" si="23"/>
        <v>0</v>
      </c>
      <c r="O103" s="12"/>
      <c r="P103" s="8">
        <v>300</v>
      </c>
      <c r="Q103" s="3"/>
      <c r="R103" s="7">
        <f t="shared" si="24"/>
        <v>1.1911385202143116E-4</v>
      </c>
      <c r="S103" s="3"/>
      <c r="T103" s="8"/>
      <c r="U103" s="3"/>
      <c r="V103" s="7">
        <f t="shared" si="25"/>
        <v>0</v>
      </c>
      <c r="W103" s="3"/>
      <c r="X103" s="8">
        <f t="shared" si="26"/>
        <v>300</v>
      </c>
      <c r="Y103" s="3"/>
      <c r="Z103" s="7">
        <f t="shared" si="27"/>
        <v>0</v>
      </c>
    </row>
    <row r="104" spans="1:26" s="69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SUM(OSRRefD22_18x_0)</f>
        <v>0</v>
      </c>
      <c r="E104" s="2"/>
      <c r="F104" s="6">
        <f t="shared" si="20"/>
        <v>0</v>
      </c>
      <c r="G104" s="2"/>
      <c r="H104" s="2">
        <f>SUM(OSRRefH22_18x_0)</f>
        <v>25</v>
      </c>
      <c r="I104" s="2"/>
      <c r="J104" s="6">
        <f t="shared" si="21"/>
        <v>1.1573806161894401E-4</v>
      </c>
      <c r="K104" s="2"/>
      <c r="L104" s="2">
        <f t="shared" si="22"/>
        <v>-25</v>
      </c>
      <c r="M104" s="2"/>
      <c r="N104" s="6">
        <f t="shared" si="23"/>
        <v>-1</v>
      </c>
      <c r="O104" s="14"/>
      <c r="P104" s="2">
        <f>SUM(OSRRefP22_18x_0)</f>
        <v>40.32</v>
      </c>
      <c r="Q104" s="2"/>
      <c r="R104" s="6">
        <f t="shared" si="24"/>
        <v>1.600890171168035E-5</v>
      </c>
      <c r="S104" s="2"/>
      <c r="T104" s="2">
        <f>SUM(OSRRefT22_18x_0)</f>
        <v>200</v>
      </c>
      <c r="U104" s="2"/>
      <c r="V104" s="6">
        <f t="shared" si="25"/>
        <v>1.0144935622774772E-4</v>
      </c>
      <c r="W104" s="2"/>
      <c r="X104" s="2">
        <f t="shared" si="26"/>
        <v>-159.68</v>
      </c>
      <c r="Y104" s="2"/>
      <c r="Z104" s="6">
        <f t="shared" si="27"/>
        <v>-0.7984</v>
      </c>
    </row>
    <row r="105" spans="1:26" s="70" customFormat="1" ht="15" hidden="1" customHeight="1" outlineLevel="2" x14ac:dyDescent="0.3">
      <c r="A105" s="26"/>
      <c r="B105" s="12" t="str">
        <f>CONCATENATE("          ","6294"," - ","TRAVEL OPERATIONAL")</f>
        <v xml:space="preserve">          6294 - TRAVEL OPERATIONAL</v>
      </c>
      <c r="C105" s="12"/>
      <c r="D105" s="8"/>
      <c r="E105" s="3"/>
      <c r="F105" s="7">
        <f t="shared" si="20"/>
        <v>0</v>
      </c>
      <c r="G105" s="3"/>
      <c r="H105" s="8">
        <v>25</v>
      </c>
      <c r="I105" s="3"/>
      <c r="J105" s="7">
        <f t="shared" si="21"/>
        <v>1.1573806161894401E-4</v>
      </c>
      <c r="K105" s="3"/>
      <c r="L105" s="8">
        <f t="shared" si="22"/>
        <v>-25</v>
      </c>
      <c r="M105" s="3"/>
      <c r="N105" s="7">
        <f t="shared" si="23"/>
        <v>-1</v>
      </c>
      <c r="O105" s="12"/>
      <c r="P105" s="8">
        <v>40.32</v>
      </c>
      <c r="Q105" s="3"/>
      <c r="R105" s="7">
        <f t="shared" si="24"/>
        <v>1.600890171168035E-5</v>
      </c>
      <c r="S105" s="3"/>
      <c r="T105" s="8">
        <v>200</v>
      </c>
      <c r="U105" s="3"/>
      <c r="V105" s="7">
        <f t="shared" si="25"/>
        <v>1.0144935622774772E-4</v>
      </c>
      <c r="W105" s="3"/>
      <c r="X105" s="8">
        <f t="shared" si="26"/>
        <v>-159.68</v>
      </c>
      <c r="Y105" s="3"/>
      <c r="Z105" s="7">
        <f t="shared" si="27"/>
        <v>-0.7984</v>
      </c>
    </row>
    <row r="106" spans="1:26" s="65" customFormat="1" ht="15" customHeight="1" x14ac:dyDescent="0.3">
      <c r="A106" s="35"/>
      <c r="B106" s="35"/>
      <c r="C106" s="35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O106" s="35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63" customFormat="1" ht="15" customHeight="1" collapsed="1" x14ac:dyDescent="0.3">
      <c r="A107" s="11"/>
      <c r="B107" s="27" t="s">
        <v>291</v>
      </c>
      <c r="C107" s="11"/>
      <c r="D107" s="5">
        <f>SUM(OSRRefD25x_0)</f>
        <v>145</v>
      </c>
      <c r="E107" s="5"/>
      <c r="F107" s="13">
        <f>IF(D$12=0,0,D107/D$12)</f>
        <v>2.8692680730644669E-4</v>
      </c>
      <c r="G107" s="5"/>
      <c r="H107" s="5">
        <f>SUM(OSRRefH25x_0)</f>
        <v>0</v>
      </c>
      <c r="I107" s="5"/>
      <c r="J107" s="13">
        <f>IF(H$12=0,0,H107/H$12)</f>
        <v>0</v>
      </c>
      <c r="K107" s="5"/>
      <c r="L107" s="5">
        <f>+D107-H107</f>
        <v>145</v>
      </c>
      <c r="M107" s="5"/>
      <c r="N107" s="13">
        <f>IF(H107=0,0,L107/H107)</f>
        <v>0</v>
      </c>
      <c r="O107" s="11"/>
      <c r="P107" s="5">
        <f>SUM(OSRRefP25x_0)</f>
        <v>158647.37</v>
      </c>
      <c r="Q107" s="5"/>
      <c r="R107" s="13">
        <f>IF(P$12=0,0,P107/P$12)</f>
        <v>6.2990331179230794E-2</v>
      </c>
      <c r="S107" s="5"/>
      <c r="T107" s="5">
        <f>SUM(OSRRefT25x_0)</f>
        <v>106228</v>
      </c>
      <c r="U107" s="5"/>
      <c r="V107" s="13">
        <f>IF(T$12=0,0,T107/T$12)</f>
        <v>5.3883811066805926E-2</v>
      </c>
      <c r="W107" s="5"/>
      <c r="X107" s="5">
        <f>+P107-T107</f>
        <v>52419.369999999995</v>
      </c>
      <c r="Y107" s="5"/>
      <c r="Z107" s="13">
        <f>IF(T107=0,0,X107/T107)</f>
        <v>0.49346095191474937</v>
      </c>
    </row>
    <row r="108" spans="1:26" s="70" customFormat="1" ht="15" hidden="1" customHeight="1" outlineLevel="1" x14ac:dyDescent="0.3">
      <c r="A108" s="42"/>
      <c r="B108" s="12" t="str">
        <f>CONCATENATE("          ","9150"," - ","MISC. INCOME")</f>
        <v xml:space="preserve">          9150 - MISC. INCOME</v>
      </c>
      <c r="C108" s="12"/>
      <c r="D108" s="3">
        <f>--145</f>
        <v>145</v>
      </c>
      <c r="E108" s="3"/>
      <c r="F108" s="20">
        <f>IF(D$12=0,0,D108/D$12)</f>
        <v>2.8692680730644669E-4</v>
      </c>
      <c r="G108" s="3"/>
      <c r="H108" s="3">
        <v>0</v>
      </c>
      <c r="I108" s="3"/>
      <c r="J108" s="20">
        <f>IF(H$12=0,0,H108/H$12)</f>
        <v>0</v>
      </c>
      <c r="K108" s="3"/>
      <c r="L108" s="3">
        <f>+D108-H108</f>
        <v>145</v>
      </c>
      <c r="M108" s="3"/>
      <c r="N108" s="20">
        <f>IF(H108=0,0,L108/H108)</f>
        <v>0</v>
      </c>
      <c r="O108" s="12"/>
      <c r="P108" s="3">
        <f>--78871.67</f>
        <v>78871.67</v>
      </c>
      <c r="Q108" s="3"/>
      <c r="R108" s="20">
        <f>IF(P$12=0,0,P108/P$12)</f>
        <v>3.1315694763543837E-2</v>
      </c>
      <c r="S108" s="3"/>
      <c r="T108" s="3">
        <v>47895</v>
      </c>
      <c r="U108" s="3"/>
      <c r="V108" s="20">
        <f>IF(T$12=0,0,T108/T$12)</f>
        <v>2.4294584582639885E-2</v>
      </c>
      <c r="W108" s="3"/>
      <c r="X108" s="3">
        <f>+P108-T108</f>
        <v>30976.67</v>
      </c>
      <c r="Y108" s="3"/>
      <c r="Z108" s="20">
        <f>IF(T108=0,0,X108/T108)</f>
        <v>0.6467620837248147</v>
      </c>
    </row>
    <row r="109" spans="1:26" s="70" customFormat="1" ht="15" hidden="1" customHeight="1" outlineLevel="1" x14ac:dyDescent="0.3">
      <c r="A109" s="42"/>
      <c r="B109" s="12" t="str">
        <f>CONCATENATE("          ","9160"," - ","MISC. INCOME")</f>
        <v xml:space="preserve">          9160 - MISC. INCOME</v>
      </c>
      <c r="C109" s="12"/>
      <c r="D109" s="3">
        <f>0</f>
        <v>0</v>
      </c>
      <c r="E109" s="3"/>
      <c r="F109" s="20">
        <f>IF(D$12=0,0,D109/D$12)</f>
        <v>0</v>
      </c>
      <c r="G109" s="3"/>
      <c r="H109" s="3"/>
      <c r="I109" s="3"/>
      <c r="J109" s="20">
        <f>IF(H$12=0,0,H109/H$12)</f>
        <v>0</v>
      </c>
      <c r="K109" s="3"/>
      <c r="L109" s="3">
        <f>+D109-H109</f>
        <v>0</v>
      </c>
      <c r="M109" s="3"/>
      <c r="N109" s="20">
        <f>IF(H109=0,0,L109/H109)</f>
        <v>0</v>
      </c>
      <c r="O109" s="12"/>
      <c r="P109" s="3">
        <f>0</f>
        <v>0</v>
      </c>
      <c r="Q109" s="3"/>
      <c r="R109" s="20">
        <f>IF(P$12=0,0,P109/P$12)</f>
        <v>0</v>
      </c>
      <c r="S109" s="3"/>
      <c r="T109" s="3">
        <v>58333</v>
      </c>
      <c r="U109" s="3"/>
      <c r="V109" s="20">
        <f>IF(T$12=0,0,T109/T$12)</f>
        <v>2.9589226484166037E-2</v>
      </c>
      <c r="W109" s="3"/>
      <c r="X109" s="3">
        <f>+P109-T109</f>
        <v>-58333</v>
      </c>
      <c r="Y109" s="3"/>
      <c r="Z109" s="20">
        <f>IF(T109=0,0,X109/T109)</f>
        <v>-1</v>
      </c>
    </row>
    <row r="110" spans="1:26" s="70" customFormat="1" ht="15" hidden="1" customHeight="1" outlineLevel="1" x14ac:dyDescent="0.3">
      <c r="A110" s="42"/>
      <c r="B110" s="12" t="str">
        <f>CONCATENATE("          ","9163"," - ","MISC. INCOME")</f>
        <v xml:space="preserve">          9163 - MISC. INCOME</v>
      </c>
      <c r="C110" s="12"/>
      <c r="D110" s="3">
        <f>0</f>
        <v>0</v>
      </c>
      <c r="E110" s="3"/>
      <c r="F110" s="20">
        <f>IF(D$12=0,0,D110/D$12)</f>
        <v>0</v>
      </c>
      <c r="G110" s="3"/>
      <c r="H110" s="3"/>
      <c r="I110" s="3"/>
      <c r="J110" s="20">
        <f>IF(H$12=0,0,H110/H$12)</f>
        <v>0</v>
      </c>
      <c r="K110" s="3"/>
      <c r="L110" s="3">
        <f>+D110-H110</f>
        <v>0</v>
      </c>
      <c r="M110" s="3"/>
      <c r="N110" s="20">
        <f>IF(H110=0,0,L110/H110)</f>
        <v>0</v>
      </c>
      <c r="O110" s="12"/>
      <c r="P110" s="3">
        <f>--79775.7</f>
        <v>79775.7</v>
      </c>
      <c r="Q110" s="3"/>
      <c r="R110" s="20">
        <f>IF(P$12=0,0,P110/P$12)</f>
        <v>3.1674636415686956E-2</v>
      </c>
      <c r="S110" s="3"/>
      <c r="T110" s="3"/>
      <c r="U110" s="3"/>
      <c r="V110" s="20">
        <f>IF(T$12=0,0,T110/T$12)</f>
        <v>0</v>
      </c>
      <c r="W110" s="3"/>
      <c r="X110" s="3">
        <f>+P110-T110</f>
        <v>79775.7</v>
      </c>
      <c r="Y110" s="3"/>
      <c r="Z110" s="20">
        <f>IF(T110=0,0,X110/T110)</f>
        <v>0</v>
      </c>
    </row>
    <row r="111" spans="1:26" ht="15" customHeight="1" x14ac:dyDescent="0.3">
      <c r="A111" s="10"/>
      <c r="B111" s="11"/>
      <c r="C111" s="11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O111" s="11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3" customFormat="1" ht="15" customHeight="1" x14ac:dyDescent="0.3">
      <c r="A112" s="11"/>
      <c r="B112" s="28" t="s">
        <v>292</v>
      </c>
      <c r="C112" s="28"/>
      <c r="D112" s="21">
        <f>+D40-D42+D107</f>
        <v>183113.57000000007</v>
      </c>
      <c r="E112" s="15"/>
      <c r="F112" s="22">
        <f>IF(D$12=0,0,D112/D$12)</f>
        <v>0.36234615182472796</v>
      </c>
      <c r="G112" s="15"/>
      <c r="H112" s="21">
        <f>+H40-H42+H107</f>
        <v>28245.924402076926</v>
      </c>
      <c r="I112" s="15"/>
      <c r="J112" s="22">
        <f>IF(H$12=0,0,H112/H$12)</f>
        <v>0.13076514155726454</v>
      </c>
      <c r="K112" s="16"/>
      <c r="L112" s="21">
        <f>+D112-H112</f>
        <v>154867.64559792314</v>
      </c>
      <c r="M112" s="16"/>
      <c r="N112" s="22">
        <f>IF(H112=0,0,L112/H112)</f>
        <v>5.482831554506876</v>
      </c>
      <c r="O112" s="27"/>
      <c r="P112" s="21">
        <f>+P40-P42+P107</f>
        <v>800887.92999999947</v>
      </c>
      <c r="Q112" s="15"/>
      <c r="R112" s="22">
        <f>IF(P$12=0,0,P112/P$12)</f>
        <v>0.31798948793256754</v>
      </c>
      <c r="S112" s="15"/>
      <c r="T112" s="21">
        <f>+T40-T42+T107</f>
        <v>368840.56484217301</v>
      </c>
      <c r="U112" s="15"/>
      <c r="V112" s="22">
        <f>IF(T$12=0,0,T112/T$12)</f>
        <v>0.18709318926958646</v>
      </c>
      <c r="W112" s="16"/>
      <c r="X112" s="21">
        <f>+P112-T112</f>
        <v>432047.36515782645</v>
      </c>
      <c r="Y112" s="16"/>
      <c r="Z112" s="22">
        <f>IF(T112=0,0,X112/T112)</f>
        <v>1.1713661845808625</v>
      </c>
    </row>
    <row r="113" spans="1:26" ht="15" customHeight="1" x14ac:dyDescent="0.3">
      <c r="A113" s="10"/>
      <c r="B113" s="11"/>
      <c r="C113" s="10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3" customFormat="1" ht="15" customHeight="1" x14ac:dyDescent="0.3">
      <c r="A114" s="49"/>
      <c r="B114" s="11" t="s">
        <v>293</v>
      </c>
      <c r="C114" s="11"/>
      <c r="D114" s="5">
        <v>47890.54</v>
      </c>
      <c r="E114" s="5"/>
      <c r="F114" s="13">
        <f>IF(D$12=0,0,D114/D$12)</f>
        <v>9.4766067188839148E-2</v>
      </c>
      <c r="G114" s="5"/>
      <c r="H114" s="5">
        <v>21054</v>
      </c>
      <c r="I114" s="5"/>
      <c r="J114" s="13">
        <f>IF(H$12=0,0,H114/H$12)</f>
        <v>9.7469965973009887E-2</v>
      </c>
      <c r="K114" s="5"/>
      <c r="L114" s="5">
        <f>+D114-H114</f>
        <v>26836.54</v>
      </c>
      <c r="M114" s="5"/>
      <c r="N114" s="13">
        <f>IF(H114=0,0,L114/H114)</f>
        <v>1.2746527975681581</v>
      </c>
      <c r="O114" s="11"/>
      <c r="P114" s="5">
        <v>314378.31</v>
      </c>
      <c r="Q114" s="5"/>
      <c r="R114" s="13">
        <f>IF(P$12=0,0,P114/P$12)</f>
        <v>0.12482270498695872</v>
      </c>
      <c r="S114" s="5"/>
      <c r="T114" s="5">
        <v>241002</v>
      </c>
      <c r="U114" s="5"/>
      <c r="V114" s="13">
        <f>IF(T$12=0,0,T114/T$12)</f>
        <v>0.12224748874799828</v>
      </c>
      <c r="W114" s="5"/>
      <c r="X114" s="5">
        <f>+P114-T114</f>
        <v>73376.31</v>
      </c>
      <c r="Y114" s="5"/>
      <c r="Z114" s="13">
        <f>IF(T114=0,0,X114/T114)</f>
        <v>0.30446348992954414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11"/>
      <c r="B116" s="28" t="s">
        <v>294</v>
      </c>
      <c r="C116" s="28"/>
      <c r="D116" s="33">
        <f>+D112-D114</f>
        <v>135223.03000000006</v>
      </c>
      <c r="E116" s="15"/>
      <c r="F116" s="32">
        <f>IF(D$12=0,0,D116/D$12)</f>
        <v>0.26758008463588878</v>
      </c>
      <c r="G116" s="15"/>
      <c r="H116" s="33">
        <f>+H112-H114</f>
        <v>7191.9244020769256</v>
      </c>
      <c r="I116" s="15"/>
      <c r="J116" s="32">
        <f>IF(H$12=0,0,H116/H$12)</f>
        <v>3.3295175584254648E-2</v>
      </c>
      <c r="K116" s="16"/>
      <c r="L116" s="33">
        <f>D116-H116</f>
        <v>128031.10559792313</v>
      </c>
      <c r="M116" s="16"/>
      <c r="N116" s="32">
        <f>IF(H116=0,0,L116/H116)</f>
        <v>17.802064988468118</v>
      </c>
      <c r="O116" s="27"/>
      <c r="P116" s="33">
        <f>+P112-P114</f>
        <v>486509.61999999947</v>
      </c>
      <c r="Q116" s="15"/>
      <c r="R116" s="32">
        <f>IF(P$12=0,0,P116/P$12)</f>
        <v>0.19316678294560882</v>
      </c>
      <c r="S116" s="15"/>
      <c r="T116" s="33">
        <f>+T112-T114</f>
        <v>127838.56484217301</v>
      </c>
      <c r="U116" s="15"/>
      <c r="V116" s="32">
        <f>IF(T$12=0,0,T116/T$12)</f>
        <v>6.4845700521588182E-2</v>
      </c>
      <c r="W116" s="16"/>
      <c r="X116" s="33">
        <f>P116-T116</f>
        <v>358671.05515782646</v>
      </c>
      <c r="Y116" s="16"/>
      <c r="Z116" s="32">
        <f>IF(T116=0,0,X116/T116)</f>
        <v>2.8056561460982818</v>
      </c>
    </row>
    <row r="117" spans="1:26" ht="15" customHeight="1" x14ac:dyDescent="0.3">
      <c r="A117" s="10"/>
      <c r="B117" s="10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ht="15" customHeight="1" x14ac:dyDescent="0.3">
      <c r="A118" s="10"/>
      <c r="B118" s="10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3" customFormat="1" ht="15" customHeight="1" x14ac:dyDescent="0.3">
      <c r="A119" s="11"/>
      <c r="B119" s="28" t="s">
        <v>297</v>
      </c>
      <c r="C119" s="28"/>
      <c r="D119" s="34">
        <f>SUM(D116:D118)</f>
        <v>135223.03000000006</v>
      </c>
      <c r="E119" s="15"/>
      <c r="F119" s="30">
        <f>IF(D$12=0,0,D119/D$12)</f>
        <v>0.26758008463588878</v>
      </c>
      <c r="G119" s="15"/>
      <c r="H119" s="34">
        <f>SUM(H116:H118)</f>
        <v>7191.9244020769256</v>
      </c>
      <c r="I119" s="15"/>
      <c r="J119" s="30">
        <f>IF(H$12=0,0,H119/H$12)</f>
        <v>3.3295175584254648E-2</v>
      </c>
      <c r="K119" s="16"/>
      <c r="L119" s="34">
        <f>+D119-H119</f>
        <v>128031.10559792313</v>
      </c>
      <c r="M119" s="16"/>
      <c r="N119" s="30">
        <f>IF(H119=0,0,L119/H119)</f>
        <v>17.802064988468118</v>
      </c>
      <c r="O119" s="27"/>
      <c r="P119" s="34">
        <f>SUM(P116:P118)</f>
        <v>486509.61999999947</v>
      </c>
      <c r="Q119" s="15"/>
      <c r="R119" s="30">
        <f>IF(P$12=0,0,P119/P$12)</f>
        <v>0.19316678294560882</v>
      </c>
      <c r="S119" s="15"/>
      <c r="T119" s="34">
        <f>SUM(T116:T118)</f>
        <v>127838.56484217301</v>
      </c>
      <c r="U119" s="15"/>
      <c r="V119" s="30">
        <f>IF(T$12=0,0,T119/T$12)</f>
        <v>6.4845700521588182E-2</v>
      </c>
      <c r="W119" s="16"/>
      <c r="X119" s="34">
        <f>+P119-T119</f>
        <v>358671.05515782646</v>
      </c>
      <c r="Y119" s="16"/>
      <c r="Z119" s="30">
        <f>IF(T119=0,0,X119/T119)</f>
        <v>2.8056561460982818</v>
      </c>
    </row>
    <row r="120" spans="1:26" ht="15" customHeight="1" x14ac:dyDescent="0.3">
      <c r="A120" s="10"/>
      <c r="C120" s="10"/>
      <c r="D120" s="19"/>
      <c r="E120" s="19"/>
      <c r="G120" s="19"/>
      <c r="H120" s="19"/>
      <c r="I120" s="19"/>
      <c r="J120" s="41"/>
      <c r="K120" s="19"/>
      <c r="L120" s="19"/>
      <c r="M120" s="19"/>
      <c r="P120" s="19"/>
      <c r="Q120" s="19"/>
      <c r="R120" s="41"/>
      <c r="S120" s="19"/>
      <c r="T120" s="19"/>
      <c r="U120" s="19"/>
      <c r="V120" s="41"/>
      <c r="W120" s="19"/>
      <c r="X120" s="19"/>
    </row>
    <row r="121" spans="1:26" ht="15" customHeight="1" x14ac:dyDescent="0.3">
      <c r="A121" s="10"/>
      <c r="B121" s="57">
        <v>44634.883430555557</v>
      </c>
      <c r="D121" s="19"/>
      <c r="E121" s="19"/>
      <c r="G121" s="19"/>
      <c r="H121" s="19"/>
      <c r="I121" s="19"/>
      <c r="J121" s="41"/>
      <c r="K121" s="19"/>
      <c r="L121" s="19"/>
      <c r="M121" s="19"/>
      <c r="P121" s="19"/>
      <c r="Q121" s="19"/>
      <c r="R121" s="41"/>
      <c r="S121" s="19"/>
      <c r="T121" s="19"/>
      <c r="U121" s="19"/>
      <c r="V121" s="41"/>
      <c r="W121" s="19"/>
      <c r="X121" s="19"/>
    </row>
    <row r="122" spans="1:26" ht="15" customHeight="1" x14ac:dyDescent="0.3">
      <c r="A122" s="10"/>
      <c r="B122" s="56" t="s">
        <v>298</v>
      </c>
      <c r="D122" s="19"/>
      <c r="E122" s="19"/>
      <c r="G122" s="19"/>
      <c r="H122" s="19"/>
      <c r="I122" s="19"/>
      <c r="J122" s="41"/>
      <c r="K122" s="19"/>
      <c r="L122" s="19"/>
      <c r="M122" s="19"/>
      <c r="P122" s="19"/>
      <c r="Q122" s="19"/>
      <c r="R122" s="41"/>
      <c r="S122" s="19"/>
      <c r="T122" s="19"/>
      <c r="U122" s="19"/>
      <c r="V122" s="41"/>
      <c r="W122" s="19"/>
      <c r="X122" s="19"/>
    </row>
    <row r="123" spans="1:26" ht="15" customHeight="1" x14ac:dyDescent="0.3">
      <c r="A123" s="10"/>
      <c r="B123" s="54"/>
      <c r="D123" s="19"/>
      <c r="E123" s="19"/>
      <c r="G123" s="19"/>
      <c r="H123" s="19"/>
      <c r="I123" s="19"/>
      <c r="J123" s="41"/>
      <c r="K123" s="19"/>
      <c r="L123" s="19"/>
      <c r="M123" s="19"/>
      <c r="P123" s="19"/>
      <c r="Q123" s="19"/>
      <c r="R123" s="41"/>
      <c r="S123" s="19"/>
      <c r="T123" s="19"/>
      <c r="U123" s="19"/>
      <c r="V123" s="41"/>
      <c r="W123" s="19"/>
      <c r="X123" s="19"/>
    </row>
    <row r="124" spans="1:26" ht="15" customHeight="1" x14ac:dyDescent="0.3">
      <c r="D124" s="19"/>
      <c r="E124" s="19"/>
      <c r="G124" s="19"/>
      <c r="H124" s="19"/>
      <c r="I124" s="19"/>
      <c r="J124" s="41"/>
      <c r="K124" s="19"/>
      <c r="L124" s="19"/>
      <c r="M124" s="19"/>
      <c r="P124" s="19"/>
      <c r="Q124" s="19"/>
      <c r="R124" s="41"/>
      <c r="S124" s="19"/>
      <c r="T124" s="19"/>
      <c r="U124" s="19"/>
      <c r="V124" s="41"/>
      <c r="W124" s="19"/>
      <c r="X124" s="19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C495C-6D97-F07D-0854-B9EB68663088}">
  <sheetPr>
    <tabColor rgb="FF92D05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","326"," - ","2nd Street Store")</f>
        <v>Department 326 - 2nd Street Store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26835.62</v>
      </c>
      <c r="E12" s="5"/>
      <c r="F12" s="13"/>
      <c r="G12" s="5"/>
      <c r="H12" s="5">
        <f>SUM(OSRRefH13x_0)</f>
        <v>24103</v>
      </c>
      <c r="I12" s="5"/>
      <c r="J12" s="13"/>
      <c r="K12" s="5"/>
      <c r="L12" s="5">
        <f>+D12-H12</f>
        <v>2732.619999999999</v>
      </c>
      <c r="M12" s="5"/>
      <c r="N12" s="13">
        <f>IF(H12=0,0,L12/H12)</f>
        <v>0.1133726092187694</v>
      </c>
      <c r="O12" s="11"/>
      <c r="P12" s="5">
        <f>SUM(OSRRefP13x_0)</f>
        <v>258141.62999999995</v>
      </c>
      <c r="Q12" s="5"/>
      <c r="R12" s="13"/>
      <c r="S12" s="5"/>
      <c r="T12" s="5">
        <f>SUM(OSRRefT13x_0)</f>
        <v>214709</v>
      </c>
      <c r="U12" s="5"/>
      <c r="V12" s="13"/>
      <c r="W12" s="5"/>
      <c r="X12" s="5">
        <f>+P12-T12</f>
        <v>43432.629999999946</v>
      </c>
      <c r="Y12" s="5"/>
      <c r="Z12" s="13">
        <f>IF(T12=0,0,X12/T12)</f>
        <v>0.2022860243399203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--28550.45</f>
        <v>28550.45</v>
      </c>
      <c r="E13" s="3"/>
      <c r="F13" s="20"/>
      <c r="G13" s="3"/>
      <c r="H13" s="3">
        <v>24103</v>
      </c>
      <c r="I13" s="3"/>
      <c r="J13" s="20"/>
      <c r="K13" s="3"/>
      <c r="L13" s="3">
        <f>+D13-H13</f>
        <v>4447.4500000000007</v>
      </c>
      <c r="M13" s="3"/>
      <c r="N13" s="20">
        <f>IF(H13=0,0,L13/H13)</f>
        <v>0.18451852466497951</v>
      </c>
      <c r="O13" s="12"/>
      <c r="P13" s="3">
        <f>--274398.1</f>
        <v>274398.09999999998</v>
      </c>
      <c r="Q13" s="3"/>
      <c r="R13" s="20"/>
      <c r="S13" s="3"/>
      <c r="T13" s="3">
        <v>214709</v>
      </c>
      <c r="U13" s="3"/>
      <c r="V13" s="20"/>
      <c r="W13" s="3"/>
      <c r="X13" s="3">
        <f>+P13-T13</f>
        <v>59689.099999999977</v>
      </c>
      <c r="Y13" s="3"/>
      <c r="Z13" s="20">
        <f>IF(T13=0,0,X13/T13)</f>
        <v>0.27799999068506664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--31.5</f>
        <v>31.5</v>
      </c>
      <c r="E14" s="3"/>
      <c r="F14" s="20"/>
      <c r="G14" s="3"/>
      <c r="H14" s="3"/>
      <c r="I14" s="3"/>
      <c r="J14" s="20"/>
      <c r="K14" s="3"/>
      <c r="L14" s="3">
        <f>+D14-H14</f>
        <v>31.5</v>
      </c>
      <c r="M14" s="3"/>
      <c r="N14" s="20">
        <f>IF(H14=0,0,L14/H14)</f>
        <v>0</v>
      </c>
      <c r="O14" s="12"/>
      <c r="P14" s="3">
        <f>--186.29</f>
        <v>186.29</v>
      </c>
      <c r="Q14" s="3"/>
      <c r="R14" s="20"/>
      <c r="S14" s="3"/>
      <c r="T14" s="3"/>
      <c r="U14" s="3"/>
      <c r="V14" s="20"/>
      <c r="W14" s="3"/>
      <c r="X14" s="3">
        <f>+P14-T14</f>
        <v>186.29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-1314.36</f>
        <v>-1314.36</v>
      </c>
      <c r="E15" s="3"/>
      <c r="F15" s="20"/>
      <c r="G15" s="3"/>
      <c r="H15" s="3"/>
      <c r="I15" s="3"/>
      <c r="J15" s="20"/>
      <c r="K15" s="3"/>
      <c r="L15" s="3">
        <f>+D15-H15</f>
        <v>-1314.36</v>
      </c>
      <c r="M15" s="3"/>
      <c r="N15" s="20">
        <f>IF(H15=0,0,L15/H15)</f>
        <v>0</v>
      </c>
      <c r="O15" s="12"/>
      <c r="P15" s="3">
        <f>-10828.19</f>
        <v>-10828.19</v>
      </c>
      <c r="Q15" s="3"/>
      <c r="R15" s="20"/>
      <c r="S15" s="3"/>
      <c r="T15" s="3"/>
      <c r="U15" s="3"/>
      <c r="V15" s="20"/>
      <c r="W15" s="3"/>
      <c r="X15" s="3">
        <f>+P15-T15</f>
        <v>-10828.19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","4500"," - ","SALES DISCOUNT")</f>
        <v xml:space="preserve">          4500 - SALES DISCOUNT</v>
      </c>
      <c r="C16" s="12"/>
      <c r="D16" s="3">
        <f>-431.97</f>
        <v>-431.97</v>
      </c>
      <c r="E16" s="3"/>
      <c r="F16" s="20"/>
      <c r="G16" s="3"/>
      <c r="H16" s="3"/>
      <c r="I16" s="3"/>
      <c r="J16" s="20"/>
      <c r="K16" s="3"/>
      <c r="L16" s="3">
        <f>+D16-H16</f>
        <v>-431.97</v>
      </c>
      <c r="M16" s="3"/>
      <c r="N16" s="20">
        <f>IF(H16=0,0,L16/H16)</f>
        <v>0</v>
      </c>
      <c r="O16" s="12"/>
      <c r="P16" s="3">
        <f>-5614.57</f>
        <v>-5614.57</v>
      </c>
      <c r="Q16" s="3"/>
      <c r="R16" s="20"/>
      <c r="S16" s="3"/>
      <c r="T16" s="3"/>
      <c r="U16" s="3"/>
      <c r="V16" s="20"/>
      <c r="W16" s="3"/>
      <c r="X16" s="3">
        <f>+P16-T16</f>
        <v>-5614.57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12277.38</v>
      </c>
      <c r="E18" s="5"/>
      <c r="F18" s="13">
        <f>IF(D$12=0,0,D18/D$12)</f>
        <v>0.45750312457845205</v>
      </c>
      <c r="G18" s="5"/>
      <c r="H18" s="5">
        <f>SUM(OSRRefH16x_0)</f>
        <v>10847</v>
      </c>
      <c r="I18" s="5"/>
      <c r="J18" s="13">
        <f>IF(H$12=0,0,H18/H$12)</f>
        <v>0.45002696759739452</v>
      </c>
      <c r="K18" s="5"/>
      <c r="L18" s="5">
        <f>+D18-H18</f>
        <v>1430.3799999999992</v>
      </c>
      <c r="M18" s="5"/>
      <c r="N18" s="13">
        <f>IF(H18=0,0,L18/H18)</f>
        <v>0.13186871946160222</v>
      </c>
      <c r="O18" s="11"/>
      <c r="P18" s="5">
        <f>SUM(OSRRefP16x_0)</f>
        <v>120057.69</v>
      </c>
      <c r="Q18" s="5"/>
      <c r="R18" s="13">
        <f>IF(P$12=0,0,P18/P$12)</f>
        <v>0.465084573921688</v>
      </c>
      <c r="S18" s="5"/>
      <c r="T18" s="5">
        <f>SUM(OSRRefT16x_0)</f>
        <v>96621</v>
      </c>
      <c r="U18" s="5"/>
      <c r="V18" s="13">
        <f>IF(T$12=0,0,T18/T$12)</f>
        <v>0.45000908205990431</v>
      </c>
      <c r="W18" s="5"/>
      <c r="X18" s="5">
        <f>+P18-T18</f>
        <v>23436.690000000002</v>
      </c>
      <c r="Y18" s="5"/>
      <c r="Z18" s="13">
        <f>IF(T18=0,0,X18/T18)</f>
        <v>0.24256310739901266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10847</v>
      </c>
      <c r="I19" s="3"/>
      <c r="J19" s="20">
        <f>IF(H$12=0,0,H19/H$12)</f>
        <v>0.45002696759739452</v>
      </c>
      <c r="K19" s="3"/>
      <c r="L19" s="3">
        <f>+D19-H19</f>
        <v>-10847</v>
      </c>
      <c r="M19" s="3"/>
      <c r="N19" s="20">
        <f>IF(H19=0,0,L19/H19)</f>
        <v>-1</v>
      </c>
      <c r="O19" s="12"/>
      <c r="P19" s="3">
        <v>5388.9</v>
      </c>
      <c r="Q19" s="3"/>
      <c r="R19" s="20">
        <f>IF(P$12=0,0,P19/P$12)</f>
        <v>2.0875749486822411E-2</v>
      </c>
      <c r="S19" s="3"/>
      <c r="T19" s="3">
        <v>96621</v>
      </c>
      <c r="U19" s="3"/>
      <c r="V19" s="20">
        <f>IF(T$12=0,0,T19/T$12)</f>
        <v>0.45000908205990431</v>
      </c>
      <c r="W19" s="3"/>
      <c r="X19" s="3">
        <f>+P19-T19</f>
        <v>-91232.1</v>
      </c>
      <c r="Y19" s="3"/>
      <c r="Z19" s="20">
        <f>IF(T19=0,0,X19/T19)</f>
        <v>-0.94422641040767541</v>
      </c>
    </row>
    <row r="20" spans="1:26" s="70" customFormat="1" ht="15" hidden="1" customHeight="1" outlineLevel="1" x14ac:dyDescent="0.3">
      <c r="A20" s="42"/>
      <c r="B20" s="12" t="str">
        <f>CONCATENATE("          ","5200"," - ","PURCHASES OFFSET")</f>
        <v xml:space="preserve">          5200 - PURCHASES OFFSET</v>
      </c>
      <c r="C20" s="12"/>
      <c r="D20" s="3"/>
      <c r="E20" s="3"/>
      <c r="F20" s="20">
        <f>IF(D$12=0,0,D20/D$12)</f>
        <v>0</v>
      </c>
      <c r="G20" s="3"/>
      <c r="H20" s="3"/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>
        <v>-5481.89</v>
      </c>
      <c r="Q20" s="3"/>
      <c r="R20" s="20">
        <f>IF(P$12=0,0,P20/P$12)</f>
        <v>-2.1235978094660678E-2</v>
      </c>
      <c r="S20" s="3"/>
      <c r="T20" s="3"/>
      <c r="U20" s="3"/>
      <c r="V20" s="20">
        <f>IF(T$12=0,0,T20/T$12)</f>
        <v>0</v>
      </c>
      <c r="W20" s="3"/>
      <c r="X20" s="3">
        <f>+P20-T20</f>
        <v>-5481.89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","5300"," - ","COG$ OFFSET")</f>
        <v xml:space="preserve">          5300 - COG$ OFFSET</v>
      </c>
      <c r="C21" s="12"/>
      <c r="D21" s="3">
        <v>12277.38</v>
      </c>
      <c r="E21" s="3"/>
      <c r="F21" s="20">
        <f>IF(D$12=0,0,D21/D$12)</f>
        <v>0.45750312457845205</v>
      </c>
      <c r="G21" s="3"/>
      <c r="H21" s="3"/>
      <c r="I21" s="3"/>
      <c r="J21" s="20">
        <f>IF(H$12=0,0,H21/H$12)</f>
        <v>0</v>
      </c>
      <c r="K21" s="3"/>
      <c r="L21" s="3">
        <f>+D21-H21</f>
        <v>12277.38</v>
      </c>
      <c r="M21" s="3"/>
      <c r="N21" s="20">
        <f>IF(H21=0,0,L21/H21)</f>
        <v>0</v>
      </c>
      <c r="O21" s="12"/>
      <c r="P21" s="3">
        <v>120057.69</v>
      </c>
      <c r="Q21" s="3"/>
      <c r="R21" s="20">
        <f>IF(P$12=0,0,P21/P$12)</f>
        <v>0.465084573921688</v>
      </c>
      <c r="S21" s="3"/>
      <c r="T21" s="3"/>
      <c r="U21" s="3"/>
      <c r="V21" s="20">
        <f>IF(T$12=0,0,T21/T$12)</f>
        <v>0</v>
      </c>
      <c r="W21" s="3"/>
      <c r="X21" s="3">
        <f>+P21-T21</f>
        <v>120057.69</v>
      </c>
      <c r="Y21" s="3"/>
      <c r="Z21" s="20">
        <f>IF(T21=0,0,X21/T21)</f>
        <v>0</v>
      </c>
    </row>
    <row r="22" spans="1:26" s="70" customFormat="1" ht="15" hidden="1" customHeight="1" outlineLevel="1" x14ac:dyDescent="0.3">
      <c r="A22" s="42"/>
      <c r="B22" s="12" t="str">
        <f>CONCATENATE("          ","5500"," - ","FREIGHT-IN")</f>
        <v xml:space="preserve">          5500 - FREIGHT-IN</v>
      </c>
      <c r="C22" s="12"/>
      <c r="D22" s="3"/>
      <c r="E22" s="3"/>
      <c r="F22" s="20">
        <f>IF(D$12=0,0,D22/D$12)</f>
        <v>0</v>
      </c>
      <c r="G22" s="3"/>
      <c r="H22" s="3"/>
      <c r="I22" s="3"/>
      <c r="J22" s="20">
        <f>IF(H$12=0,0,H22/H$12)</f>
        <v>0</v>
      </c>
      <c r="K22" s="3"/>
      <c r="L22" s="3">
        <f>+D22-H22</f>
        <v>0</v>
      </c>
      <c r="M22" s="3"/>
      <c r="N22" s="20">
        <f>IF(H22=0,0,L22/H22)</f>
        <v>0</v>
      </c>
      <c r="O22" s="12"/>
      <c r="P22" s="3">
        <v>92.99</v>
      </c>
      <c r="Q22" s="3"/>
      <c r="R22" s="20">
        <f>IF(P$12=0,0,P22/P$12)</f>
        <v>3.602286078382631E-4</v>
      </c>
      <c r="S22" s="3"/>
      <c r="T22" s="3"/>
      <c r="U22" s="3"/>
      <c r="V22" s="20">
        <f>IF(T$12=0,0,T22/T$12)</f>
        <v>0</v>
      </c>
      <c r="W22" s="3"/>
      <c r="X22" s="3">
        <f>+P22-T22</f>
        <v>92.99</v>
      </c>
      <c r="Y22" s="3"/>
      <c r="Z22" s="20">
        <f>IF(T22=0,0,X22/T22)</f>
        <v>0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11"/>
      <c r="B24" s="28" t="s">
        <v>289</v>
      </c>
      <c r="C24" s="28"/>
      <c r="D24" s="21">
        <f>D12-D18</f>
        <v>14558.24</v>
      </c>
      <c r="E24" s="15"/>
      <c r="F24" s="22">
        <f>IF(D$12=0,0,D24/D$12)</f>
        <v>0.5424968754215479</v>
      </c>
      <c r="G24" s="15"/>
      <c r="H24" s="21">
        <f>H12-H18</f>
        <v>13256</v>
      </c>
      <c r="I24" s="15"/>
      <c r="J24" s="22">
        <f>IF(H$12=0,0,H24/H$12)</f>
        <v>0.54997303240260553</v>
      </c>
      <c r="K24" s="16"/>
      <c r="L24" s="21">
        <f>+D24-H24</f>
        <v>1302.2399999999998</v>
      </c>
      <c r="M24" s="16"/>
      <c r="N24" s="22">
        <f>IF(H24=0,0,L24/H24)</f>
        <v>9.8237779118889548E-2</v>
      </c>
      <c r="O24" s="27"/>
      <c r="P24" s="21">
        <f>P12-P18</f>
        <v>138083.93999999994</v>
      </c>
      <c r="Q24" s="15"/>
      <c r="R24" s="22">
        <f>IF(P$12=0,0,P24/P$12)</f>
        <v>0.534915426078312</v>
      </c>
      <c r="S24" s="15"/>
      <c r="T24" s="21">
        <f>T12-T18</f>
        <v>118088</v>
      </c>
      <c r="U24" s="15"/>
      <c r="V24" s="22">
        <f>IF(T$12=0,0,T24/T$12)</f>
        <v>0.54999091794009569</v>
      </c>
      <c r="W24" s="16"/>
      <c r="X24" s="21">
        <f>+P24-T24</f>
        <v>19995.939999999944</v>
      </c>
      <c r="Y24" s="16"/>
      <c r="Z24" s="22">
        <f>IF(T24=0,0,X24/T24)</f>
        <v>0.16933083801910392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7" t="s">
        <v>290</v>
      </c>
      <c r="C26" s="11"/>
      <c r="D26" s="23" cm="1">
        <f t="array" ref="D26">SUM(OSRRefD22x_0)</f>
        <v>16264.04</v>
      </c>
      <c r="E26" s="23"/>
      <c r="F26" s="29">
        <f t="shared" ref="F26:F57" si="0">IF(D$12=0,0,D26/D$12)</f>
        <v>0.6060616449331151</v>
      </c>
      <c r="G26" s="23"/>
      <c r="H26" s="23" cm="1">
        <f t="array" ref="H26">SUM(OSRRefH22x_0)</f>
        <v>23212.02714396923</v>
      </c>
      <c r="I26" s="23"/>
      <c r="J26" s="29">
        <f t="shared" ref="J26:J57" si="1">IF(H$12=0,0,H26/H$12)</f>
        <v>0.96303477342941668</v>
      </c>
      <c r="K26" s="5"/>
      <c r="L26" s="23">
        <f t="shared" ref="L26:L57" si="2">+D26-H26</f>
        <v>-6947.9871439692288</v>
      </c>
      <c r="M26" s="5"/>
      <c r="N26" s="29">
        <f t="shared" ref="N26:N57" si="3">IF(H26=0,0,L26/H26)</f>
        <v>-0.29932702994337146</v>
      </c>
      <c r="O26" s="11"/>
      <c r="P26" s="23" cm="1">
        <f t="array" ref="P26">SUM(OSRRefP22x_0)</f>
        <v>138269.30000000005</v>
      </c>
      <c r="Q26" s="23"/>
      <c r="R26" s="29">
        <f t="shared" ref="R26:R57" si="4">IF(P$12=0,0,P26/P$12)</f>
        <v>0.53563348151168055</v>
      </c>
      <c r="S26" s="23"/>
      <c r="T26" s="23" cm="1">
        <f t="array" ref="T26">SUM(OSRRefT22x_0)</f>
        <v>179207.52974393076</v>
      </c>
      <c r="U26" s="23"/>
      <c r="V26" s="29">
        <f t="shared" ref="V26:V57" si="5">IF(T$12=0,0,T26/T$12)</f>
        <v>0.83465308740635358</v>
      </c>
      <c r="W26" s="5"/>
      <c r="X26" s="23">
        <f t="shared" ref="X26:X57" si="6">+P26-T26</f>
        <v>-40938.229743930715</v>
      </c>
      <c r="Y26" s="5"/>
      <c r="Z26" s="29">
        <f t="shared" ref="Z26:Z57" si="7">IF(T26=0,0,X26/T26)</f>
        <v>-0.22844034401025035</v>
      </c>
    </row>
    <row r="27" spans="1:26" s="69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1456.46</v>
      </c>
      <c r="E27" s="2"/>
      <c r="F27" s="6">
        <f t="shared" si="0"/>
        <v>5.4273387385869981E-2</v>
      </c>
      <c r="G27" s="2"/>
      <c r="H27" s="2">
        <f>SUM(OSRRefH22_0x_0)</f>
        <v>2543.991451661539</v>
      </c>
      <c r="I27" s="2"/>
      <c r="J27" s="6">
        <f t="shared" si="1"/>
        <v>0.10554667268230258</v>
      </c>
      <c r="K27" s="2"/>
      <c r="L27" s="2">
        <f t="shared" si="2"/>
        <v>-1087.531451661539</v>
      </c>
      <c r="M27" s="2"/>
      <c r="N27" s="6">
        <f t="shared" si="3"/>
        <v>-0.42749021461972575</v>
      </c>
      <c r="O27" s="14"/>
      <c r="P27" s="2">
        <f>SUM(OSRRefP22_0x_0)</f>
        <v>10324.580000000002</v>
      </c>
      <c r="Q27" s="2"/>
      <c r="R27" s="6">
        <f t="shared" si="4"/>
        <v>3.9995796106191799E-2</v>
      </c>
      <c r="S27" s="2"/>
      <c r="T27" s="2">
        <f>SUM(OSRRefT22_0x_0)</f>
        <v>21864.374436238457</v>
      </c>
      <c r="U27" s="2"/>
      <c r="V27" s="6">
        <f t="shared" si="5"/>
        <v>0.10183259405166274</v>
      </c>
      <c r="W27" s="2"/>
      <c r="X27" s="2">
        <f t="shared" si="6"/>
        <v>-11539.794436238455</v>
      </c>
      <c r="Y27" s="2"/>
      <c r="Z27" s="6">
        <f t="shared" si="7"/>
        <v>-0.5277898286041135</v>
      </c>
    </row>
    <row r="28" spans="1:26" s="70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8">
        <v>148.94999999999999</v>
      </c>
      <c r="E28" s="3"/>
      <c r="F28" s="7">
        <f t="shared" si="0"/>
        <v>5.5504586814092609E-3</v>
      </c>
      <c r="G28" s="3"/>
      <c r="H28" s="8">
        <v>592.20220896923104</v>
      </c>
      <c r="I28" s="3"/>
      <c r="J28" s="7">
        <f t="shared" si="1"/>
        <v>2.4569647304038128E-2</v>
      </c>
      <c r="K28" s="3"/>
      <c r="L28" s="8">
        <f t="shared" si="2"/>
        <v>-443.25220896923105</v>
      </c>
      <c r="M28" s="3"/>
      <c r="N28" s="7">
        <f t="shared" si="3"/>
        <v>-0.74848118135314323</v>
      </c>
      <c r="O28" s="12"/>
      <c r="P28" s="8">
        <v>1996.24</v>
      </c>
      <c r="Q28" s="3"/>
      <c r="R28" s="7">
        <f t="shared" si="4"/>
        <v>7.7331192183143823E-3</v>
      </c>
      <c r="S28" s="3"/>
      <c r="T28" s="8">
        <v>5547.4595151807698</v>
      </c>
      <c r="U28" s="3"/>
      <c r="V28" s="7">
        <f t="shared" si="5"/>
        <v>2.5837107504486399E-2</v>
      </c>
      <c r="W28" s="3"/>
      <c r="X28" s="8">
        <f t="shared" si="6"/>
        <v>-3551.21951518077</v>
      </c>
      <c r="Y28" s="3"/>
      <c r="Z28" s="7">
        <f t="shared" si="7"/>
        <v>-0.64015239867235874</v>
      </c>
    </row>
    <row r="29" spans="1:26" s="70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8">
        <v>91.84</v>
      </c>
      <c r="E29" s="3"/>
      <c r="F29" s="7">
        <f t="shared" si="0"/>
        <v>3.4223170547205547E-3</v>
      </c>
      <c r="G29" s="3"/>
      <c r="H29" s="8">
        <v>157.82177999999999</v>
      </c>
      <c r="I29" s="3"/>
      <c r="J29" s="7">
        <f t="shared" si="1"/>
        <v>6.5478064971165413E-3</v>
      </c>
      <c r="K29" s="3"/>
      <c r="L29" s="8">
        <f t="shared" si="2"/>
        <v>-65.981779999999986</v>
      </c>
      <c r="M29" s="3"/>
      <c r="N29" s="7">
        <f t="shared" si="3"/>
        <v>-0.41807778368739723</v>
      </c>
      <c r="O29" s="12"/>
      <c r="P29" s="8">
        <v>455.67</v>
      </c>
      <c r="Q29" s="3"/>
      <c r="R29" s="7">
        <f t="shared" si="4"/>
        <v>1.765193781413715E-3</v>
      </c>
      <c r="S29" s="3"/>
      <c r="T29" s="8">
        <v>1375.904505</v>
      </c>
      <c r="U29" s="3"/>
      <c r="V29" s="7">
        <f t="shared" si="5"/>
        <v>6.4082293010539844E-3</v>
      </c>
      <c r="W29" s="3"/>
      <c r="X29" s="8">
        <f t="shared" si="6"/>
        <v>-920.2345049999999</v>
      </c>
      <c r="Y29" s="3"/>
      <c r="Z29" s="7">
        <f t="shared" si="7"/>
        <v>-0.66882149281137782</v>
      </c>
    </row>
    <row r="30" spans="1:26" s="70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8">
        <v>487.33</v>
      </c>
      <c r="E30" s="3"/>
      <c r="F30" s="7">
        <f t="shared" si="0"/>
        <v>1.8159818927231793E-2</v>
      </c>
      <c r="G30" s="3"/>
      <c r="H30" s="8">
        <v>988.5</v>
      </c>
      <c r="I30" s="3"/>
      <c r="J30" s="7">
        <f t="shared" si="1"/>
        <v>4.1011492345351203E-2</v>
      </c>
      <c r="K30" s="3"/>
      <c r="L30" s="8">
        <f t="shared" si="2"/>
        <v>-501.17</v>
      </c>
      <c r="M30" s="3"/>
      <c r="N30" s="7">
        <f t="shared" si="3"/>
        <v>-0.50700050581689426</v>
      </c>
      <c r="O30" s="12"/>
      <c r="P30" s="8">
        <v>4146.1099999999997</v>
      </c>
      <c r="Q30" s="3"/>
      <c r="R30" s="7">
        <f t="shared" si="4"/>
        <v>1.6061376849599969E-2</v>
      </c>
      <c r="S30" s="3"/>
      <c r="T30" s="8">
        <v>7908</v>
      </c>
      <c r="U30" s="3"/>
      <c r="V30" s="7">
        <f t="shared" si="5"/>
        <v>3.6831246012044211E-2</v>
      </c>
      <c r="W30" s="3"/>
      <c r="X30" s="8">
        <f t="shared" si="6"/>
        <v>-3761.8900000000003</v>
      </c>
      <c r="Y30" s="3"/>
      <c r="Z30" s="7">
        <f t="shared" si="7"/>
        <v>-0.47570687910976228</v>
      </c>
    </row>
    <row r="31" spans="1:26" s="70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8">
        <v>16.13</v>
      </c>
      <c r="E31" s="3"/>
      <c r="F31" s="7">
        <f t="shared" si="0"/>
        <v>6.0106679107842481E-4</v>
      </c>
      <c r="G31" s="3"/>
      <c r="H31" s="8">
        <v>21.245239615384602</v>
      </c>
      <c r="I31" s="3"/>
      <c r="J31" s="7">
        <f t="shared" si="1"/>
        <v>8.814354899964569E-4</v>
      </c>
      <c r="K31" s="3"/>
      <c r="L31" s="8">
        <f t="shared" si="2"/>
        <v>-5.1152396153846027</v>
      </c>
      <c r="M31" s="3"/>
      <c r="N31" s="7">
        <f t="shared" si="3"/>
        <v>-0.24077109545426992</v>
      </c>
      <c r="O31" s="12"/>
      <c r="P31" s="8">
        <v>80.05</v>
      </c>
      <c r="Q31" s="3"/>
      <c r="R31" s="7">
        <f t="shared" si="4"/>
        <v>3.1010108675613468E-4</v>
      </c>
      <c r="S31" s="3"/>
      <c r="T31" s="8">
        <v>185.217914134615</v>
      </c>
      <c r="U31" s="3"/>
      <c r="V31" s="7">
        <f t="shared" si="5"/>
        <v>8.6264625206495767E-4</v>
      </c>
      <c r="W31" s="3"/>
      <c r="X31" s="8">
        <f t="shared" si="6"/>
        <v>-105.167914134615</v>
      </c>
      <c r="Y31" s="3"/>
      <c r="Z31" s="7">
        <f t="shared" si="7"/>
        <v>-0.56780638431215535</v>
      </c>
    </row>
    <row r="32" spans="1:26" s="70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8">
        <v>96.14</v>
      </c>
      <c r="E32" s="3"/>
      <c r="F32" s="7">
        <f t="shared" si="0"/>
        <v>3.5825518471345177E-3</v>
      </c>
      <c r="G32" s="3"/>
      <c r="H32" s="8">
        <v>206.11884615384599</v>
      </c>
      <c r="I32" s="3"/>
      <c r="J32" s="7">
        <f t="shared" si="1"/>
        <v>8.5515847053829804E-3</v>
      </c>
      <c r="K32" s="3"/>
      <c r="L32" s="8">
        <f t="shared" si="2"/>
        <v>-109.97884615384599</v>
      </c>
      <c r="M32" s="3"/>
      <c r="N32" s="7">
        <f t="shared" si="3"/>
        <v>-0.53357006506701665</v>
      </c>
      <c r="O32" s="12"/>
      <c r="P32" s="8">
        <v>773.5</v>
      </c>
      <c r="Q32" s="3"/>
      <c r="R32" s="7">
        <f t="shared" si="4"/>
        <v>2.9964171218722071E-3</v>
      </c>
      <c r="S32" s="3"/>
      <c r="T32" s="8">
        <v>1803.5399038461501</v>
      </c>
      <c r="U32" s="3"/>
      <c r="V32" s="7">
        <f t="shared" si="5"/>
        <v>8.3999268956874186E-3</v>
      </c>
      <c r="W32" s="3"/>
      <c r="X32" s="8">
        <f t="shared" si="6"/>
        <v>-1030.0399038461501</v>
      </c>
      <c r="Y32" s="3"/>
      <c r="Z32" s="7">
        <f t="shared" si="7"/>
        <v>-0.57112121647518421</v>
      </c>
    </row>
    <row r="33" spans="1:26" s="70" customFormat="1" ht="15" hidden="1" customHeight="1" outlineLevel="2" x14ac:dyDescent="0.3">
      <c r="A33" s="26"/>
      <c r="B33" s="12" t="str">
        <f>CONCATENATE("          ","6116"," - ","EDUCATIONAL BENEFITS")</f>
        <v xml:space="preserve">          6116 - EDUCATIONAL BENEFITS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251.67</v>
      </c>
      <c r="E34" s="3"/>
      <c r="F34" s="7">
        <f t="shared" si="0"/>
        <v>9.3782070248423551E-3</v>
      </c>
      <c r="G34" s="3"/>
      <c r="H34" s="8">
        <v>119.836538461538</v>
      </c>
      <c r="I34" s="3"/>
      <c r="J34" s="7">
        <f t="shared" si="1"/>
        <v>4.9718515728970668E-3</v>
      </c>
      <c r="K34" s="3"/>
      <c r="L34" s="8">
        <f t="shared" si="2"/>
        <v>131.83346153846199</v>
      </c>
      <c r="M34" s="3"/>
      <c r="N34" s="7">
        <f t="shared" si="3"/>
        <v>1.1001107277541604</v>
      </c>
      <c r="O34" s="12"/>
      <c r="P34" s="8">
        <v>970.95</v>
      </c>
      <c r="Q34" s="3"/>
      <c r="R34" s="7">
        <f t="shared" si="4"/>
        <v>3.761307310254453E-3</v>
      </c>
      <c r="S34" s="3"/>
      <c r="T34" s="8">
        <v>1048.5697115384601</v>
      </c>
      <c r="U34" s="3"/>
      <c r="V34" s="7">
        <f t="shared" si="5"/>
        <v>4.8836784277252474E-3</v>
      </c>
      <c r="W34" s="3"/>
      <c r="X34" s="8">
        <f t="shared" si="6"/>
        <v>-77.619711538460024</v>
      </c>
      <c r="Y34" s="3"/>
      <c r="Z34" s="7">
        <f t="shared" si="7"/>
        <v>-7.4024369275912508E-2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212.49</v>
      </c>
      <c r="E35" s="3"/>
      <c r="F35" s="7">
        <f t="shared" si="0"/>
        <v>7.9182072186146629E-3</v>
      </c>
      <c r="G35" s="3"/>
      <c r="H35" s="8">
        <v>458.26683846153901</v>
      </c>
      <c r="I35" s="3"/>
      <c r="J35" s="7">
        <f t="shared" si="1"/>
        <v>1.9012854767520185E-2</v>
      </c>
      <c r="K35" s="3"/>
      <c r="L35" s="8">
        <f t="shared" si="2"/>
        <v>-245.776838461539</v>
      </c>
      <c r="M35" s="3"/>
      <c r="N35" s="7">
        <f t="shared" si="3"/>
        <v>-0.53631818371725004</v>
      </c>
      <c r="O35" s="12"/>
      <c r="P35" s="8">
        <v>692.85</v>
      </c>
      <c r="Q35" s="3"/>
      <c r="R35" s="7">
        <f t="shared" si="4"/>
        <v>2.6839917296563138E-3</v>
      </c>
      <c r="S35" s="3"/>
      <c r="T35" s="8">
        <v>3995.68288653846</v>
      </c>
      <c r="U35" s="3"/>
      <c r="V35" s="7">
        <f t="shared" si="5"/>
        <v>1.8609759658600525E-2</v>
      </c>
      <c r="W35" s="3"/>
      <c r="X35" s="8">
        <f t="shared" si="6"/>
        <v>-3302.8328865384601</v>
      </c>
      <c r="Y35" s="3"/>
      <c r="Z35" s="7">
        <f t="shared" si="7"/>
        <v>-0.82660035351298122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151.91</v>
      </c>
      <c r="E36" s="3"/>
      <c r="F36" s="7">
        <f t="shared" si="0"/>
        <v>5.660759840838408E-3</v>
      </c>
      <c r="G36" s="3"/>
      <c r="H36" s="8"/>
      <c r="I36" s="3"/>
      <c r="J36" s="7">
        <f t="shared" si="1"/>
        <v>0</v>
      </c>
      <c r="K36" s="3"/>
      <c r="L36" s="8">
        <f t="shared" si="2"/>
        <v>151.91</v>
      </c>
      <c r="M36" s="3"/>
      <c r="N36" s="7">
        <f t="shared" si="3"/>
        <v>0</v>
      </c>
      <c r="O36" s="12"/>
      <c r="P36" s="8">
        <v>1209.21</v>
      </c>
      <c r="Q36" s="3"/>
      <c r="R36" s="7">
        <f t="shared" si="4"/>
        <v>4.6842890083246174E-3</v>
      </c>
      <c r="S36" s="3"/>
      <c r="T36" s="8"/>
      <c r="U36" s="3"/>
      <c r="V36" s="7">
        <f t="shared" si="5"/>
        <v>0</v>
      </c>
      <c r="W36" s="3"/>
      <c r="X36" s="8">
        <f t="shared" si="6"/>
        <v>1209.21</v>
      </c>
      <c r="Y36" s="3"/>
      <c r="Z36" s="7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6150.3600000000006</v>
      </c>
      <c r="E37" s="2"/>
      <c r="F37" s="6">
        <f t="shared" si="0"/>
        <v>0.22918643206305653</v>
      </c>
      <c r="G37" s="2"/>
      <c r="H37" s="2">
        <f>SUM(OSRRefH22_1x_0)</f>
        <v>9610.0356923076906</v>
      </c>
      <c r="I37" s="2"/>
      <c r="J37" s="6">
        <f t="shared" si="1"/>
        <v>0.39870703614934616</v>
      </c>
      <c r="K37" s="2"/>
      <c r="L37" s="2">
        <f t="shared" si="2"/>
        <v>-3459.67569230769</v>
      </c>
      <c r="M37" s="2"/>
      <c r="N37" s="6">
        <f t="shared" si="3"/>
        <v>-0.36000653931774379</v>
      </c>
      <c r="O37" s="14"/>
      <c r="P37" s="2">
        <f>SUM(OSRRefP22_1x_0)</f>
        <v>55703.25</v>
      </c>
      <c r="Q37" s="2"/>
      <c r="R37" s="6">
        <f t="shared" si="4"/>
        <v>0.21578561350216938</v>
      </c>
      <c r="S37" s="2"/>
      <c r="T37" s="2">
        <f>SUM(OSRRefT22_1x_0)</f>
        <v>83776.155307692301</v>
      </c>
      <c r="U37" s="2"/>
      <c r="V37" s="6">
        <f t="shared" si="5"/>
        <v>0.39018464669712172</v>
      </c>
      <c r="W37" s="2"/>
      <c r="X37" s="2">
        <f t="shared" si="6"/>
        <v>-28072.905307692301</v>
      </c>
      <c r="Y37" s="2"/>
      <c r="Z37" s="6">
        <f t="shared" si="7"/>
        <v>-0.33509421869010808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1291.72</v>
      </c>
      <c r="E39" s="3"/>
      <c r="F39" s="7">
        <f t="shared" si="0"/>
        <v>4.8134531641154561E-2</v>
      </c>
      <c r="G39" s="3"/>
      <c r="H39" s="8">
        <v>2157.0576923076901</v>
      </c>
      <c r="I39" s="3"/>
      <c r="J39" s="7">
        <f t="shared" si="1"/>
        <v>8.9493328312147458E-2</v>
      </c>
      <c r="K39" s="3"/>
      <c r="L39" s="8">
        <f t="shared" si="2"/>
        <v>-865.33769230769008</v>
      </c>
      <c r="M39" s="3"/>
      <c r="N39" s="7">
        <f t="shared" si="3"/>
        <v>-0.40116576176593766</v>
      </c>
      <c r="O39" s="12"/>
      <c r="P39" s="8">
        <v>9864.09</v>
      </c>
      <c r="Q39" s="3"/>
      <c r="R39" s="7">
        <f t="shared" si="4"/>
        <v>3.8211930404251346E-2</v>
      </c>
      <c r="S39" s="3"/>
      <c r="T39" s="8">
        <v>18874.254807692301</v>
      </c>
      <c r="U39" s="3"/>
      <c r="V39" s="7">
        <f t="shared" si="5"/>
        <v>8.7906211699054534E-2</v>
      </c>
      <c r="W39" s="3"/>
      <c r="X39" s="8">
        <f t="shared" si="6"/>
        <v>-9010.1648076923011</v>
      </c>
      <c r="Y39" s="3"/>
      <c r="Z39" s="7">
        <f t="shared" si="7"/>
        <v>-0.47737857200169626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8"/>
      <c r="E41" s="3"/>
      <c r="F41" s="7">
        <f t="shared" si="0"/>
        <v>0</v>
      </c>
      <c r="G41" s="3"/>
      <c r="H41" s="8">
        <v>5074.3680000000004</v>
      </c>
      <c r="I41" s="3"/>
      <c r="J41" s="7">
        <f t="shared" si="1"/>
        <v>0.21052848193170975</v>
      </c>
      <c r="K41" s="3"/>
      <c r="L41" s="8">
        <f t="shared" si="2"/>
        <v>-5074.3680000000004</v>
      </c>
      <c r="M41" s="3"/>
      <c r="N41" s="7">
        <f t="shared" si="3"/>
        <v>-1</v>
      </c>
      <c r="O41" s="12"/>
      <c r="P41" s="8">
        <v>4272.3900000000003</v>
      </c>
      <c r="Q41" s="3"/>
      <c r="R41" s="7">
        <f t="shared" si="4"/>
        <v>1.6550565672030511E-2</v>
      </c>
      <c r="S41" s="3"/>
      <c r="T41" s="8">
        <v>44188.527999999998</v>
      </c>
      <c r="U41" s="3"/>
      <c r="V41" s="7">
        <f t="shared" si="5"/>
        <v>0.20580659404123719</v>
      </c>
      <c r="W41" s="3"/>
      <c r="X41" s="8">
        <f t="shared" si="6"/>
        <v>-39916.137999999999</v>
      </c>
      <c r="Y41" s="3"/>
      <c r="Z41" s="7">
        <f t="shared" si="7"/>
        <v>-0.90331449827882926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8">
        <v>268</v>
      </c>
      <c r="E42" s="3"/>
      <c r="F42" s="7">
        <f t="shared" si="0"/>
        <v>9.9867265969632909E-3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268</v>
      </c>
      <c r="M42" s="3"/>
      <c r="N42" s="7">
        <f t="shared" si="3"/>
        <v>0</v>
      </c>
      <c r="O42" s="12"/>
      <c r="P42" s="8">
        <v>5134.08</v>
      </c>
      <c r="Q42" s="3"/>
      <c r="R42" s="7">
        <f t="shared" si="4"/>
        <v>1.9888616958062908E-2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5134.08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8">
        <v>4590.6400000000003</v>
      </c>
      <c r="E44" s="3"/>
      <c r="F44" s="7">
        <f t="shared" si="0"/>
        <v>0.17106517382493866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4590.6400000000003</v>
      </c>
      <c r="M44" s="3"/>
      <c r="N44" s="7">
        <f t="shared" si="3"/>
        <v>0</v>
      </c>
      <c r="O44" s="12"/>
      <c r="P44" s="8">
        <v>35434.82</v>
      </c>
      <c r="Q44" s="3"/>
      <c r="R44" s="7">
        <f t="shared" si="4"/>
        <v>0.13726890931927566</v>
      </c>
      <c r="S44" s="3"/>
      <c r="T44" s="8">
        <v>5001.75</v>
      </c>
      <c r="U44" s="3"/>
      <c r="V44" s="7">
        <f t="shared" si="5"/>
        <v>2.3295483654620905E-2</v>
      </c>
      <c r="W44" s="3"/>
      <c r="X44" s="8">
        <f t="shared" si="6"/>
        <v>30433.07</v>
      </c>
      <c r="Y44" s="3"/>
      <c r="Z44" s="7">
        <f t="shared" si="7"/>
        <v>6.0844844304493426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8"/>
      <c r="E45" s="3"/>
      <c r="F45" s="7">
        <f t="shared" si="0"/>
        <v>0</v>
      </c>
      <c r="G45" s="3"/>
      <c r="H45" s="8">
        <v>2378.61</v>
      </c>
      <c r="I45" s="3"/>
      <c r="J45" s="7">
        <f t="shared" si="1"/>
        <v>9.8685225905488949E-2</v>
      </c>
      <c r="K45" s="3"/>
      <c r="L45" s="8">
        <f t="shared" si="2"/>
        <v>-2378.61</v>
      </c>
      <c r="M45" s="3"/>
      <c r="N45" s="7">
        <f t="shared" si="3"/>
        <v>-1</v>
      </c>
      <c r="O45" s="12"/>
      <c r="P45" s="8">
        <v>997.87</v>
      </c>
      <c r="Q45" s="3"/>
      <c r="R45" s="7">
        <f t="shared" si="4"/>
        <v>3.8655911485489581E-3</v>
      </c>
      <c r="S45" s="3"/>
      <c r="T45" s="8">
        <v>15711.622499999999</v>
      </c>
      <c r="U45" s="3"/>
      <c r="V45" s="7">
        <f t="shared" si="5"/>
        <v>7.3176357302209033E-2</v>
      </c>
      <c r="W45" s="3"/>
      <c r="X45" s="8">
        <f t="shared" si="6"/>
        <v>-14713.752499999999</v>
      </c>
      <c r="Y45" s="3"/>
      <c r="Z45" s="7">
        <f t="shared" si="7"/>
        <v>-0.93648841804848604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0</v>
      </c>
      <c r="E48" s="2"/>
      <c r="F48" s="6">
        <f t="shared" si="0"/>
        <v>0</v>
      </c>
      <c r="G48" s="2"/>
      <c r="H48" s="2">
        <f>SUM(OSRRefH22_2x_0)</f>
        <v>50</v>
      </c>
      <c r="I48" s="2"/>
      <c r="J48" s="6">
        <f t="shared" si="1"/>
        <v>2.0744305688088619E-3</v>
      </c>
      <c r="K48" s="2"/>
      <c r="L48" s="2">
        <f t="shared" si="2"/>
        <v>-50</v>
      </c>
      <c r="M48" s="2"/>
      <c r="N48" s="6">
        <f t="shared" si="3"/>
        <v>-1</v>
      </c>
      <c r="O48" s="14"/>
      <c r="P48" s="2">
        <f>SUM(OSRRefP22_2x_0)</f>
        <v>1419.35</v>
      </c>
      <c r="Q48" s="2"/>
      <c r="R48" s="6">
        <f t="shared" si="4"/>
        <v>5.4983382571807586E-3</v>
      </c>
      <c r="S48" s="2"/>
      <c r="T48" s="2">
        <f>SUM(OSRRefT22_2x_0)</f>
        <v>400</v>
      </c>
      <c r="U48" s="2"/>
      <c r="V48" s="6">
        <f t="shared" si="5"/>
        <v>1.8629866470432073E-3</v>
      </c>
      <c r="W48" s="2"/>
      <c r="X48" s="2">
        <f t="shared" si="6"/>
        <v>1019.3499999999999</v>
      </c>
      <c r="Y48" s="2"/>
      <c r="Z48" s="6">
        <f t="shared" si="7"/>
        <v>2.5483749999999996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/>
      <c r="E49" s="3"/>
      <c r="F49" s="7">
        <f t="shared" si="0"/>
        <v>0</v>
      </c>
      <c r="G49" s="3"/>
      <c r="H49" s="8">
        <v>50</v>
      </c>
      <c r="I49" s="3"/>
      <c r="J49" s="7">
        <f t="shared" si="1"/>
        <v>2.0744305688088619E-3</v>
      </c>
      <c r="K49" s="3"/>
      <c r="L49" s="8">
        <f t="shared" si="2"/>
        <v>-50</v>
      </c>
      <c r="M49" s="3"/>
      <c r="N49" s="7">
        <f t="shared" si="3"/>
        <v>-1</v>
      </c>
      <c r="O49" s="12"/>
      <c r="P49" s="8">
        <v>1419.35</v>
      </c>
      <c r="Q49" s="3"/>
      <c r="R49" s="7">
        <f t="shared" si="4"/>
        <v>5.4983382571807586E-3</v>
      </c>
      <c r="S49" s="3"/>
      <c r="T49" s="8">
        <v>400</v>
      </c>
      <c r="U49" s="3"/>
      <c r="V49" s="7">
        <f t="shared" si="5"/>
        <v>1.8629866470432073E-3</v>
      </c>
      <c r="W49" s="3"/>
      <c r="X49" s="8">
        <f t="shared" si="6"/>
        <v>1019.3499999999999</v>
      </c>
      <c r="Y49" s="3"/>
      <c r="Z49" s="7">
        <f t="shared" si="7"/>
        <v>2.5483749999999996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-20.02</v>
      </c>
      <c r="E50" s="2"/>
      <c r="F50" s="6">
        <f t="shared" si="0"/>
        <v>-7.460233823552428E-4</v>
      </c>
      <c r="G50" s="2"/>
      <c r="H50" s="2">
        <f>SUM(OSRRefH22_3x_0)</f>
        <v>10</v>
      </c>
      <c r="I50" s="2"/>
      <c r="J50" s="6">
        <f t="shared" si="1"/>
        <v>4.1488611376177241E-4</v>
      </c>
      <c r="K50" s="2"/>
      <c r="L50" s="2">
        <f t="shared" si="2"/>
        <v>-30.02</v>
      </c>
      <c r="M50" s="2"/>
      <c r="N50" s="6">
        <f t="shared" si="3"/>
        <v>-3.0019999999999998</v>
      </c>
      <c r="O50" s="14"/>
      <c r="P50" s="2">
        <f>SUM(OSRRefP22_3x_0)</f>
        <v>-33.4</v>
      </c>
      <c r="Q50" s="2"/>
      <c r="R50" s="6">
        <f t="shared" si="4"/>
        <v>-1.2938633725989877E-4</v>
      </c>
      <c r="S50" s="2"/>
      <c r="T50" s="2">
        <f>SUM(OSRRefT22_3x_0)</f>
        <v>80</v>
      </c>
      <c r="U50" s="2"/>
      <c r="V50" s="6">
        <f t="shared" si="5"/>
        <v>3.7259732940864149E-4</v>
      </c>
      <c r="W50" s="2"/>
      <c r="X50" s="2">
        <f t="shared" si="6"/>
        <v>-113.4</v>
      </c>
      <c r="Y50" s="2"/>
      <c r="Z50" s="6">
        <f t="shared" si="7"/>
        <v>-1.4175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8">
        <v>-20.02</v>
      </c>
      <c r="E51" s="3"/>
      <c r="F51" s="7">
        <f t="shared" si="0"/>
        <v>-7.460233823552428E-4</v>
      </c>
      <c r="G51" s="3"/>
      <c r="H51" s="8">
        <v>10</v>
      </c>
      <c r="I51" s="3"/>
      <c r="J51" s="7">
        <f t="shared" si="1"/>
        <v>4.1488611376177241E-4</v>
      </c>
      <c r="K51" s="3"/>
      <c r="L51" s="8">
        <f t="shared" si="2"/>
        <v>-30.02</v>
      </c>
      <c r="M51" s="3"/>
      <c r="N51" s="7">
        <f t="shared" si="3"/>
        <v>-3.0019999999999998</v>
      </c>
      <c r="O51" s="12"/>
      <c r="P51" s="8">
        <v>-33.4</v>
      </c>
      <c r="Q51" s="3"/>
      <c r="R51" s="7">
        <f t="shared" si="4"/>
        <v>-1.2938633725989877E-4</v>
      </c>
      <c r="S51" s="3"/>
      <c r="T51" s="8">
        <v>80</v>
      </c>
      <c r="U51" s="3"/>
      <c r="V51" s="7">
        <f t="shared" si="5"/>
        <v>3.7259732940864149E-4</v>
      </c>
      <c r="W51" s="3"/>
      <c r="X51" s="8">
        <f t="shared" si="6"/>
        <v>-113.4</v>
      </c>
      <c r="Y51" s="3"/>
      <c r="Z51" s="7">
        <f t="shared" si="7"/>
        <v>-1.4175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452.13</v>
      </c>
      <c r="E52" s="2"/>
      <c r="F52" s="6">
        <f t="shared" si="0"/>
        <v>1.6848129463750045E-2</v>
      </c>
      <c r="G52" s="2"/>
      <c r="H52" s="2">
        <f>SUM(OSRRefH22_4x_0)</f>
        <v>457</v>
      </c>
      <c r="I52" s="2"/>
      <c r="J52" s="6">
        <f t="shared" si="1"/>
        <v>1.8960295398912998E-2</v>
      </c>
      <c r="K52" s="2"/>
      <c r="L52" s="2">
        <f t="shared" si="2"/>
        <v>-4.8700000000000045</v>
      </c>
      <c r="M52" s="2"/>
      <c r="N52" s="6">
        <f t="shared" si="3"/>
        <v>-1.0656455142231958E-2</v>
      </c>
      <c r="O52" s="14"/>
      <c r="P52" s="2">
        <f>SUM(OSRRefP22_4x_0)</f>
        <v>4266.21</v>
      </c>
      <c r="Q52" s="2"/>
      <c r="R52" s="6">
        <f t="shared" si="4"/>
        <v>1.6526625325794995E-2</v>
      </c>
      <c r="S52" s="2"/>
      <c r="T52" s="2">
        <f>SUM(OSRRefT22_4x_0)</f>
        <v>4094</v>
      </c>
      <c r="U52" s="2"/>
      <c r="V52" s="6">
        <f t="shared" si="5"/>
        <v>1.9067668332487228E-2</v>
      </c>
      <c r="W52" s="2"/>
      <c r="X52" s="2">
        <f t="shared" si="6"/>
        <v>172.21000000000004</v>
      </c>
      <c r="Y52" s="2"/>
      <c r="Z52" s="6">
        <f t="shared" si="7"/>
        <v>4.2063996091841728E-2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8">
        <v>452.13</v>
      </c>
      <c r="E53" s="3"/>
      <c r="F53" s="7">
        <f t="shared" si="0"/>
        <v>1.6848129463750045E-2</v>
      </c>
      <c r="G53" s="3"/>
      <c r="H53" s="8">
        <v>457</v>
      </c>
      <c r="I53" s="3"/>
      <c r="J53" s="7">
        <f t="shared" si="1"/>
        <v>1.8960295398912998E-2</v>
      </c>
      <c r="K53" s="3"/>
      <c r="L53" s="8">
        <f t="shared" si="2"/>
        <v>-4.8700000000000045</v>
      </c>
      <c r="M53" s="3"/>
      <c r="N53" s="7">
        <f t="shared" si="3"/>
        <v>-1.0656455142231958E-2</v>
      </c>
      <c r="O53" s="12"/>
      <c r="P53" s="8">
        <v>4266.21</v>
      </c>
      <c r="Q53" s="3"/>
      <c r="R53" s="7">
        <f t="shared" si="4"/>
        <v>1.6526625325794995E-2</v>
      </c>
      <c r="S53" s="3"/>
      <c r="T53" s="8">
        <v>4094</v>
      </c>
      <c r="U53" s="3"/>
      <c r="V53" s="7">
        <f t="shared" si="5"/>
        <v>1.9067668332487228E-2</v>
      </c>
      <c r="W53" s="3"/>
      <c r="X53" s="8">
        <f t="shared" si="6"/>
        <v>172.21000000000004</v>
      </c>
      <c r="Y53" s="3"/>
      <c r="Z53" s="7">
        <f t="shared" si="7"/>
        <v>4.2063996091841728E-2</v>
      </c>
    </row>
    <row r="54" spans="1:26" s="69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SUM(OSRRefD22_5x_0)</f>
        <v>0</v>
      </c>
      <c r="E54" s="2"/>
      <c r="F54" s="6">
        <f t="shared" si="0"/>
        <v>0</v>
      </c>
      <c r="G54" s="2"/>
      <c r="H54" s="2">
        <f>SUM(OSRRefH22_5x_0)</f>
        <v>25</v>
      </c>
      <c r="I54" s="2"/>
      <c r="J54" s="6">
        <f t="shared" si="1"/>
        <v>1.037215284404431E-3</v>
      </c>
      <c r="K54" s="2"/>
      <c r="L54" s="2">
        <f t="shared" si="2"/>
        <v>-25</v>
      </c>
      <c r="M54" s="2"/>
      <c r="N54" s="6">
        <f t="shared" si="3"/>
        <v>-1</v>
      </c>
      <c r="O54" s="14"/>
      <c r="P54" s="2">
        <f>SUM(OSRRefP22_5x_0)</f>
        <v>0</v>
      </c>
      <c r="Q54" s="2"/>
      <c r="R54" s="6">
        <f t="shared" si="4"/>
        <v>0</v>
      </c>
      <c r="S54" s="2"/>
      <c r="T54" s="2">
        <f>SUM(OSRRefT22_5x_0)</f>
        <v>200</v>
      </c>
      <c r="U54" s="2"/>
      <c r="V54" s="6">
        <f t="shared" si="5"/>
        <v>9.3149332352160364E-4</v>
      </c>
      <c r="W54" s="2"/>
      <c r="X54" s="2">
        <f t="shared" si="6"/>
        <v>-200</v>
      </c>
      <c r="Y54" s="2"/>
      <c r="Z54" s="6">
        <f t="shared" si="7"/>
        <v>-1</v>
      </c>
    </row>
    <row r="55" spans="1:26" s="70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8"/>
      <c r="E55" s="3"/>
      <c r="F55" s="7">
        <f t="shared" si="0"/>
        <v>0</v>
      </c>
      <c r="G55" s="3"/>
      <c r="H55" s="8">
        <v>25</v>
      </c>
      <c r="I55" s="3"/>
      <c r="J55" s="7">
        <f t="shared" si="1"/>
        <v>1.037215284404431E-3</v>
      </c>
      <c r="K55" s="3"/>
      <c r="L55" s="8">
        <f t="shared" si="2"/>
        <v>-25</v>
      </c>
      <c r="M55" s="3"/>
      <c r="N55" s="7">
        <f t="shared" si="3"/>
        <v>-1</v>
      </c>
      <c r="O55" s="12"/>
      <c r="P55" s="8"/>
      <c r="Q55" s="3"/>
      <c r="R55" s="7">
        <f t="shared" si="4"/>
        <v>0</v>
      </c>
      <c r="S55" s="3"/>
      <c r="T55" s="8">
        <v>200</v>
      </c>
      <c r="U55" s="3"/>
      <c r="V55" s="7">
        <f t="shared" si="5"/>
        <v>9.3149332352160364E-4</v>
      </c>
      <c r="W55" s="3"/>
      <c r="X55" s="8">
        <f t="shared" si="6"/>
        <v>-200</v>
      </c>
      <c r="Y55" s="3"/>
      <c r="Z55" s="7">
        <f t="shared" si="7"/>
        <v>-1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SUM(OSRRefP22_6x_0)</f>
        <v>1295.0899999999999</v>
      </c>
      <c r="Q56" s="2"/>
      <c r="R56" s="6">
        <f t="shared" si="4"/>
        <v>5.01697459646474E-3</v>
      </c>
      <c r="S56" s="2"/>
      <c r="T56" s="2">
        <f>SUM(OSRRefT22_6x_0)</f>
        <v>1250</v>
      </c>
      <c r="U56" s="2"/>
      <c r="V56" s="6">
        <f t="shared" si="5"/>
        <v>5.8218332720100232E-3</v>
      </c>
      <c r="W56" s="2"/>
      <c r="X56" s="2">
        <f t="shared" si="6"/>
        <v>45.089999999999918</v>
      </c>
      <c r="Y56" s="2"/>
      <c r="Z56" s="6">
        <f t="shared" si="7"/>
        <v>3.6071999999999937E-2</v>
      </c>
    </row>
    <row r="57" spans="1:26" s="70" customFormat="1" ht="15" hidden="1" customHeight="1" outlineLevel="2" x14ac:dyDescent="0.3">
      <c r="A57" s="26"/>
      <c r="B57" s="12" t="str">
        <f>CONCATENATE("          ","6276"," - ","PROPERTY TAX")</f>
        <v xml:space="preserve">          6276 - PROPERTY TAX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/>
      <c r="Q57" s="3"/>
      <c r="R57" s="7">
        <f t="shared" si="4"/>
        <v>0</v>
      </c>
      <c r="S57" s="3"/>
      <c r="T57" s="8">
        <v>1250</v>
      </c>
      <c r="U57" s="3"/>
      <c r="V57" s="7">
        <f t="shared" si="5"/>
        <v>5.8218332720100232E-3</v>
      </c>
      <c r="W57" s="3"/>
      <c r="X57" s="8">
        <f t="shared" si="6"/>
        <v>-1250</v>
      </c>
      <c r="Y57" s="3"/>
      <c r="Z57" s="7">
        <f t="shared" si="7"/>
        <v>-1</v>
      </c>
    </row>
    <row r="58" spans="1:26" s="70" customFormat="1" ht="15" hidden="1" customHeight="1" outlineLevel="2" x14ac:dyDescent="0.3">
      <c r="A58" s="26"/>
      <c r="B58" s="12" t="str">
        <f>CONCATENATE("          ","6279"," - ","GENERAL EXPENSE")</f>
        <v xml:space="preserve">          6279 - GENERAL EXPENSE</v>
      </c>
      <c r="C58" s="12"/>
      <c r="D58" s="8"/>
      <c r="E58" s="3"/>
      <c r="F58" s="7">
        <f t="shared" ref="F58:F86" si="8">IF(D$12=0,0,D58/D$12)</f>
        <v>0</v>
      </c>
      <c r="G58" s="3"/>
      <c r="H58" s="8"/>
      <c r="I58" s="3"/>
      <c r="J58" s="7">
        <f t="shared" ref="J58:J86" si="9">IF(H$12=0,0,H58/H$12)</f>
        <v>0</v>
      </c>
      <c r="K58" s="3"/>
      <c r="L58" s="8">
        <f t="shared" ref="L58:L86" si="10">+D58-H58</f>
        <v>0</v>
      </c>
      <c r="M58" s="3"/>
      <c r="N58" s="7">
        <f t="shared" ref="N58:N86" si="11">IF(H58=0,0,L58/H58)</f>
        <v>0</v>
      </c>
      <c r="O58" s="12"/>
      <c r="P58" s="8">
        <v>1295.0899999999999</v>
      </c>
      <c r="Q58" s="3"/>
      <c r="R58" s="7">
        <f t="shared" ref="R58:R86" si="12">IF(P$12=0,0,P58/P$12)</f>
        <v>5.01697459646474E-3</v>
      </c>
      <c r="S58" s="3"/>
      <c r="T58" s="8"/>
      <c r="U58" s="3"/>
      <c r="V58" s="7">
        <f t="shared" ref="V58:V86" si="13">IF(T$12=0,0,T58/T$12)</f>
        <v>0</v>
      </c>
      <c r="W58" s="3"/>
      <c r="X58" s="8">
        <f t="shared" ref="X58:X86" si="14">+P58-T58</f>
        <v>1295.0899999999999</v>
      </c>
      <c r="Y58" s="3"/>
      <c r="Z58" s="7">
        <f t="shared" ref="Z58:Z86" si="15">IF(T58=0,0,X58/T58)</f>
        <v>0</v>
      </c>
    </row>
    <row r="59" spans="1:26" s="69" customFormat="1" ht="15" customHeight="1" outlineLevel="1" collapsed="1" x14ac:dyDescent="0.3">
      <c r="A59" s="25"/>
      <c r="B59" s="14" t="str">
        <f>CONCATENATE("     ","Insurance                                         ")</f>
        <v xml:space="preserve">     Insurance                                         </v>
      </c>
      <c r="C59" s="14"/>
      <c r="D59" s="2">
        <f>SUM(OSRRefD22_7x_0)</f>
        <v>219.08</v>
      </c>
      <c r="E59" s="2"/>
      <c r="F59" s="6">
        <f t="shared" si="8"/>
        <v>8.163776353965365E-3</v>
      </c>
      <c r="G59" s="2"/>
      <c r="H59" s="2">
        <f>SUM(OSRRefH22_7x_0)</f>
        <v>175</v>
      </c>
      <c r="I59" s="2"/>
      <c r="J59" s="6">
        <f t="shared" si="9"/>
        <v>7.260506990831017E-3</v>
      </c>
      <c r="K59" s="2"/>
      <c r="L59" s="2">
        <f t="shared" si="10"/>
        <v>44.080000000000013</v>
      </c>
      <c r="M59" s="2"/>
      <c r="N59" s="6">
        <f t="shared" si="11"/>
        <v>0.25188571428571438</v>
      </c>
      <c r="O59" s="14"/>
      <c r="P59" s="2">
        <f>SUM(OSRRefP22_7x_0)</f>
        <v>1752.64</v>
      </c>
      <c r="Q59" s="2"/>
      <c r="R59" s="6">
        <f t="shared" si="12"/>
        <v>6.789451201652366E-3</v>
      </c>
      <c r="S59" s="2"/>
      <c r="T59" s="2">
        <f>SUM(OSRRefT22_7x_0)</f>
        <v>1400</v>
      </c>
      <c r="U59" s="2"/>
      <c r="V59" s="6">
        <f t="shared" si="13"/>
        <v>6.5204532646512253E-3</v>
      </c>
      <c r="W59" s="2"/>
      <c r="X59" s="2">
        <f t="shared" si="14"/>
        <v>352.6400000000001</v>
      </c>
      <c r="Y59" s="2"/>
      <c r="Z59" s="6">
        <f t="shared" si="15"/>
        <v>0.25188571428571438</v>
      </c>
    </row>
    <row r="60" spans="1:26" s="70" customFormat="1" ht="15" hidden="1" customHeight="1" outlineLevel="2" x14ac:dyDescent="0.3">
      <c r="A60" s="26"/>
      <c r="B60" s="12" t="str">
        <f>CONCATENATE("          ","6314"," - ","LIABILITY INSURANCE")</f>
        <v xml:space="preserve">          6314 - LIABILITY INSURANCE</v>
      </c>
      <c r="C60" s="12"/>
      <c r="D60" s="8">
        <v>219.08</v>
      </c>
      <c r="E60" s="3"/>
      <c r="F60" s="7">
        <f t="shared" si="8"/>
        <v>8.163776353965365E-3</v>
      </c>
      <c r="G60" s="3"/>
      <c r="H60" s="8">
        <v>175</v>
      </c>
      <c r="I60" s="3"/>
      <c r="J60" s="7">
        <f t="shared" si="9"/>
        <v>7.260506990831017E-3</v>
      </c>
      <c r="K60" s="3"/>
      <c r="L60" s="8">
        <f t="shared" si="10"/>
        <v>44.080000000000013</v>
      </c>
      <c r="M60" s="3"/>
      <c r="N60" s="7">
        <f t="shared" si="11"/>
        <v>0.25188571428571438</v>
      </c>
      <c r="O60" s="12"/>
      <c r="P60" s="8">
        <v>1752.64</v>
      </c>
      <c r="Q60" s="3"/>
      <c r="R60" s="7">
        <f t="shared" si="12"/>
        <v>6.789451201652366E-3</v>
      </c>
      <c r="S60" s="3"/>
      <c r="T60" s="8">
        <v>1400</v>
      </c>
      <c r="U60" s="3"/>
      <c r="V60" s="7">
        <f t="shared" si="13"/>
        <v>6.5204532646512253E-3</v>
      </c>
      <c r="W60" s="3"/>
      <c r="X60" s="8">
        <f t="shared" si="14"/>
        <v>352.6400000000001</v>
      </c>
      <c r="Y60" s="3"/>
      <c r="Z60" s="7">
        <f t="shared" si="15"/>
        <v>0.25188571428571438</v>
      </c>
    </row>
    <row r="61" spans="1:26" s="69" customFormat="1" ht="15" customHeight="1" outlineLevel="1" collapsed="1" x14ac:dyDescent="0.3">
      <c r="A61" s="25"/>
      <c r="B61" s="14" t="str">
        <f>CONCATENATE("     ","Inventory Adjustment                              ")</f>
        <v xml:space="preserve">     Inventory Adjustment                              </v>
      </c>
      <c r="C61" s="14"/>
      <c r="D61" s="2">
        <f>SUM(OSRRefD22_8x_0)</f>
        <v>100</v>
      </c>
      <c r="E61" s="2"/>
      <c r="F61" s="6">
        <f t="shared" si="8"/>
        <v>3.7263905212549589E-3</v>
      </c>
      <c r="G61" s="2"/>
      <c r="H61" s="2">
        <f>SUM(OSRRefH22_8x_0)</f>
        <v>100</v>
      </c>
      <c r="I61" s="2"/>
      <c r="J61" s="6">
        <f t="shared" si="9"/>
        <v>4.1488611376177239E-3</v>
      </c>
      <c r="K61" s="2"/>
      <c r="L61" s="2">
        <f t="shared" si="10"/>
        <v>0</v>
      </c>
      <c r="M61" s="2"/>
      <c r="N61" s="6">
        <f t="shared" si="11"/>
        <v>0</v>
      </c>
      <c r="O61" s="14"/>
      <c r="P61" s="2">
        <f>SUM(OSRRefP22_8x_0)</f>
        <v>800</v>
      </c>
      <c r="Q61" s="2"/>
      <c r="R61" s="6">
        <f t="shared" si="12"/>
        <v>3.0990739463448813E-3</v>
      </c>
      <c r="S61" s="2"/>
      <c r="T61" s="2">
        <f>SUM(OSRRefT22_8x_0)</f>
        <v>800</v>
      </c>
      <c r="U61" s="2"/>
      <c r="V61" s="6">
        <f t="shared" si="13"/>
        <v>3.7259732940864146E-3</v>
      </c>
      <c r="W61" s="2"/>
      <c r="X61" s="2">
        <f t="shared" si="14"/>
        <v>0</v>
      </c>
      <c r="Y61" s="2"/>
      <c r="Z61" s="6">
        <f t="shared" si="15"/>
        <v>0</v>
      </c>
    </row>
    <row r="62" spans="1:26" s="70" customFormat="1" ht="15" hidden="1" customHeight="1" outlineLevel="2" x14ac:dyDescent="0.3">
      <c r="A62" s="26"/>
      <c r="B62" s="12" t="str">
        <f>CONCATENATE("          ","6408"," - ","INVENTORY ADJUSTMENT")</f>
        <v xml:space="preserve">          6408 - INVENTORY ADJUSTMENT</v>
      </c>
      <c r="C62" s="12"/>
      <c r="D62" s="8">
        <v>100</v>
      </c>
      <c r="E62" s="3"/>
      <c r="F62" s="7">
        <f t="shared" si="8"/>
        <v>3.7263905212549589E-3</v>
      </c>
      <c r="G62" s="3"/>
      <c r="H62" s="8">
        <v>100</v>
      </c>
      <c r="I62" s="3"/>
      <c r="J62" s="7">
        <f t="shared" si="9"/>
        <v>4.1488611376177239E-3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>
        <v>800</v>
      </c>
      <c r="Q62" s="3"/>
      <c r="R62" s="7">
        <f t="shared" si="12"/>
        <v>3.0990739463448813E-3</v>
      </c>
      <c r="S62" s="3"/>
      <c r="T62" s="8">
        <v>800</v>
      </c>
      <c r="U62" s="3"/>
      <c r="V62" s="7">
        <f t="shared" si="13"/>
        <v>3.7259732940864146E-3</v>
      </c>
      <c r="W62" s="3"/>
      <c r="X62" s="8">
        <f t="shared" si="14"/>
        <v>0</v>
      </c>
      <c r="Y62" s="3"/>
      <c r="Z62" s="7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SUM(OSRRefD22_9x_0)</f>
        <v>0</v>
      </c>
      <c r="E63" s="2"/>
      <c r="F63" s="6">
        <f t="shared" si="8"/>
        <v>0</v>
      </c>
      <c r="G63" s="2"/>
      <c r="H63" s="2">
        <f>SUM(OSRRefH22_9x_0)</f>
        <v>0</v>
      </c>
      <c r="I63" s="2"/>
      <c r="J63" s="6">
        <f t="shared" si="9"/>
        <v>0</v>
      </c>
      <c r="K63" s="2"/>
      <c r="L63" s="2">
        <f t="shared" si="10"/>
        <v>0</v>
      </c>
      <c r="M63" s="2"/>
      <c r="N63" s="6">
        <f t="shared" si="11"/>
        <v>0</v>
      </c>
      <c r="O63" s="14"/>
      <c r="P63" s="2">
        <f>SUM(OSRRefP22_9x_0)</f>
        <v>161.46</v>
      </c>
      <c r="Q63" s="2"/>
      <c r="R63" s="6">
        <f t="shared" si="12"/>
        <v>6.2547059922105563E-4</v>
      </c>
      <c r="S63" s="2"/>
      <c r="T63" s="2">
        <f>SUM(OSRRefT22_9x_0)</f>
        <v>750</v>
      </c>
      <c r="U63" s="2"/>
      <c r="V63" s="6">
        <f t="shared" si="13"/>
        <v>3.4930999632060136E-3</v>
      </c>
      <c r="W63" s="2"/>
      <c r="X63" s="2">
        <f t="shared" si="14"/>
        <v>-588.54</v>
      </c>
      <c r="Y63" s="2"/>
      <c r="Z63" s="6">
        <f t="shared" si="15"/>
        <v>-0.78471999999999997</v>
      </c>
    </row>
    <row r="64" spans="1:26" s="70" customFormat="1" ht="15" hidden="1" customHeight="1" outlineLevel="2" x14ac:dyDescent="0.3">
      <c r="A64" s="26"/>
      <c r="B64" s="12" t="str">
        <f>CONCATENATE("          ","6336"," - ","PROFESSIONAL SERVICES")</f>
        <v xml:space="preserve">          6336 - PROFESSIONAL SERVICES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161.46</v>
      </c>
      <c r="Q64" s="3"/>
      <c r="R64" s="7">
        <f t="shared" si="12"/>
        <v>6.2547059922105563E-4</v>
      </c>
      <c r="S64" s="3"/>
      <c r="T64" s="8">
        <v>750</v>
      </c>
      <c r="U64" s="3"/>
      <c r="V64" s="7">
        <f t="shared" si="13"/>
        <v>3.4930999632060136E-3</v>
      </c>
      <c r="W64" s="3"/>
      <c r="X64" s="8">
        <f t="shared" si="14"/>
        <v>-588.54</v>
      </c>
      <c r="Y64" s="3"/>
      <c r="Z64" s="7">
        <f t="shared" si="15"/>
        <v>-0.78471999999999997</v>
      </c>
    </row>
    <row r="65" spans="1:26" s="69" customFormat="1" ht="15" customHeight="1" outlineLevel="1" collapsed="1" x14ac:dyDescent="0.3">
      <c r="A65" s="25"/>
      <c r="B65" s="14" t="str">
        <f>CONCATENATE("     ","Rent                                              ")</f>
        <v xml:space="preserve">     Rent                                              </v>
      </c>
      <c r="C65" s="14"/>
      <c r="D65" s="2">
        <f>SUM(OSRRefD22_10x_0)</f>
        <v>6900</v>
      </c>
      <c r="E65" s="2"/>
      <c r="F65" s="6">
        <f t="shared" si="8"/>
        <v>0.25712094596659218</v>
      </c>
      <c r="G65" s="2"/>
      <c r="H65" s="2">
        <f>SUM(OSRRefH22_10x_0)</f>
        <v>6900</v>
      </c>
      <c r="I65" s="2"/>
      <c r="J65" s="6">
        <f t="shared" si="9"/>
        <v>0.28627141849562293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SUM(OSRRefP22_10x_0)</f>
        <v>55200</v>
      </c>
      <c r="Q65" s="2"/>
      <c r="R65" s="6">
        <f t="shared" si="12"/>
        <v>0.21383610229779679</v>
      </c>
      <c r="S65" s="2"/>
      <c r="T65" s="2">
        <f>SUM(OSRRefT22_10x_0)</f>
        <v>55200</v>
      </c>
      <c r="U65" s="2"/>
      <c r="V65" s="6">
        <f t="shared" si="13"/>
        <v>0.25709215729196261</v>
      </c>
      <c r="W65" s="2"/>
      <c r="X65" s="2">
        <f t="shared" si="14"/>
        <v>0</v>
      </c>
      <c r="Y65" s="2"/>
      <c r="Z65" s="6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","6273"," - ","RENT")</f>
        <v xml:space="preserve">          6273 - RENT</v>
      </c>
      <c r="C66" s="12"/>
      <c r="D66" s="8">
        <v>6900</v>
      </c>
      <c r="E66" s="3"/>
      <c r="F66" s="7">
        <f t="shared" si="8"/>
        <v>0.25712094596659218</v>
      </c>
      <c r="G66" s="3"/>
      <c r="H66" s="8">
        <v>6900</v>
      </c>
      <c r="I66" s="3"/>
      <c r="J66" s="7">
        <f t="shared" si="9"/>
        <v>0.28627141849562293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55200</v>
      </c>
      <c r="Q66" s="3"/>
      <c r="R66" s="7">
        <f t="shared" si="12"/>
        <v>0.21383610229779679</v>
      </c>
      <c r="S66" s="3"/>
      <c r="T66" s="8">
        <v>55200</v>
      </c>
      <c r="U66" s="3"/>
      <c r="V66" s="7">
        <f t="shared" si="13"/>
        <v>0.25709215729196261</v>
      </c>
      <c r="W66" s="3"/>
      <c r="X66" s="8">
        <f t="shared" si="14"/>
        <v>0</v>
      </c>
      <c r="Y66" s="3"/>
      <c r="Z66" s="7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SUM(OSRRefD22_11x_0)</f>
        <v>0</v>
      </c>
      <c r="E67" s="2"/>
      <c r="F67" s="6">
        <f t="shared" si="8"/>
        <v>0</v>
      </c>
      <c r="G67" s="2"/>
      <c r="H67" s="2">
        <f>SUM(OSRRefH22_11x_0)</f>
        <v>115</v>
      </c>
      <c r="I67" s="2"/>
      <c r="J67" s="6">
        <f t="shared" si="9"/>
        <v>4.7711903082603823E-3</v>
      </c>
      <c r="K67" s="2"/>
      <c r="L67" s="2">
        <f t="shared" si="10"/>
        <v>-115</v>
      </c>
      <c r="M67" s="2"/>
      <c r="N67" s="6">
        <f t="shared" si="11"/>
        <v>-1</v>
      </c>
      <c r="O67" s="14"/>
      <c r="P67" s="2">
        <f>SUM(OSRRefP22_11x_0)</f>
        <v>1286.6399999999999</v>
      </c>
      <c r="Q67" s="2"/>
      <c r="R67" s="6">
        <f t="shared" si="12"/>
        <v>4.9842406279064716E-3</v>
      </c>
      <c r="S67" s="2"/>
      <c r="T67" s="2">
        <f>SUM(OSRRefT22_11x_0)</f>
        <v>1420</v>
      </c>
      <c r="U67" s="2"/>
      <c r="V67" s="6">
        <f t="shared" si="13"/>
        <v>6.6136025970033856E-3</v>
      </c>
      <c r="W67" s="2"/>
      <c r="X67" s="2">
        <f t="shared" si="14"/>
        <v>-133.36000000000013</v>
      </c>
      <c r="Y67" s="2"/>
      <c r="Z67" s="6">
        <f t="shared" si="15"/>
        <v>-9.3915492957746566E-2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8"/>
      <c r="E68" s="3"/>
      <c r="F68" s="7">
        <f t="shared" si="8"/>
        <v>0</v>
      </c>
      <c r="G68" s="3"/>
      <c r="H68" s="8">
        <v>115</v>
      </c>
      <c r="I68" s="3"/>
      <c r="J68" s="7">
        <f t="shared" si="9"/>
        <v>4.7711903082603823E-3</v>
      </c>
      <c r="K68" s="3"/>
      <c r="L68" s="8">
        <f t="shared" si="10"/>
        <v>-115</v>
      </c>
      <c r="M68" s="3"/>
      <c r="N68" s="7">
        <f t="shared" si="11"/>
        <v>-1</v>
      </c>
      <c r="O68" s="12"/>
      <c r="P68" s="8">
        <v>463.83</v>
      </c>
      <c r="Q68" s="3"/>
      <c r="R68" s="7">
        <f t="shared" si="12"/>
        <v>1.7968043356664327E-3</v>
      </c>
      <c r="S68" s="3"/>
      <c r="T68" s="8">
        <v>920</v>
      </c>
      <c r="U68" s="3"/>
      <c r="V68" s="7">
        <f t="shared" si="13"/>
        <v>4.2848692881993769E-3</v>
      </c>
      <c r="W68" s="3"/>
      <c r="X68" s="8">
        <f t="shared" si="14"/>
        <v>-456.17</v>
      </c>
      <c r="Y68" s="3"/>
      <c r="Z68" s="7">
        <f t="shared" si="15"/>
        <v>-0.49583695652173915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822.81</v>
      </c>
      <c r="Q69" s="3"/>
      <c r="R69" s="7">
        <f t="shared" si="12"/>
        <v>3.1874362922400395E-3</v>
      </c>
      <c r="S69" s="3"/>
      <c r="T69" s="8">
        <v>500</v>
      </c>
      <c r="U69" s="3"/>
      <c r="V69" s="7">
        <f t="shared" si="13"/>
        <v>2.3287333088040092E-3</v>
      </c>
      <c r="W69" s="3"/>
      <c r="X69" s="8">
        <f t="shared" si="14"/>
        <v>322.80999999999995</v>
      </c>
      <c r="Y69" s="3"/>
      <c r="Z69" s="7">
        <f t="shared" si="15"/>
        <v>0.64561999999999986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223.45</v>
      </c>
      <c r="E70" s="2"/>
      <c r="F70" s="6">
        <f t="shared" si="8"/>
        <v>8.326619619744206E-3</v>
      </c>
      <c r="G70" s="2"/>
      <c r="H70" s="2">
        <f>SUM(OSRRefH22_12x_0)</f>
        <v>60</v>
      </c>
      <c r="I70" s="2"/>
      <c r="J70" s="6">
        <f t="shared" si="9"/>
        <v>2.4893166825706342E-3</v>
      </c>
      <c r="K70" s="2"/>
      <c r="L70" s="2">
        <f t="shared" si="10"/>
        <v>163.44999999999999</v>
      </c>
      <c r="M70" s="2"/>
      <c r="N70" s="6">
        <f t="shared" si="11"/>
        <v>2.7241666666666666</v>
      </c>
      <c r="O70" s="14"/>
      <c r="P70" s="2">
        <f>SUM(OSRRefP22_12x_0)</f>
        <v>1355.3600000000001</v>
      </c>
      <c r="Q70" s="2"/>
      <c r="R70" s="6">
        <f t="shared" si="12"/>
        <v>5.2504510798974981E-3</v>
      </c>
      <c r="S70" s="2"/>
      <c r="T70" s="2">
        <f>SUM(OSRRefT22_12x_0)</f>
        <v>600</v>
      </c>
      <c r="U70" s="2"/>
      <c r="V70" s="6">
        <f t="shared" si="13"/>
        <v>2.7944799705648111E-3</v>
      </c>
      <c r="W70" s="2"/>
      <c r="X70" s="2">
        <f t="shared" si="14"/>
        <v>755.36000000000013</v>
      </c>
      <c r="Y70" s="2"/>
      <c r="Z70" s="6">
        <f t="shared" si="15"/>
        <v>1.2589333333333335</v>
      </c>
    </row>
    <row r="71" spans="1:26" s="70" customFormat="1" ht="15" hidden="1" customHeight="1" outlineLevel="2" x14ac:dyDescent="0.3">
      <c r="A71" s="26"/>
      <c r="B71" s="12" t="str">
        <f>CONCATENATE("          ","6284"," - ","TRASH REMOVAL EXPENSE")</f>
        <v xml:space="preserve">          6284 - TRASH REMOVAL EXPENSE</v>
      </c>
      <c r="C71" s="12"/>
      <c r="D71" s="8">
        <v>149.69999999999999</v>
      </c>
      <c r="E71" s="3"/>
      <c r="F71" s="7">
        <f t="shared" si="8"/>
        <v>5.5784066103186734E-3</v>
      </c>
      <c r="G71" s="3"/>
      <c r="H71" s="8">
        <v>60</v>
      </c>
      <c r="I71" s="3"/>
      <c r="J71" s="7">
        <f t="shared" si="9"/>
        <v>2.4893166825706342E-3</v>
      </c>
      <c r="K71" s="3"/>
      <c r="L71" s="8">
        <f t="shared" si="10"/>
        <v>89.699999999999989</v>
      </c>
      <c r="M71" s="3"/>
      <c r="N71" s="7">
        <f t="shared" si="11"/>
        <v>1.4949999999999999</v>
      </c>
      <c r="O71" s="12"/>
      <c r="P71" s="8">
        <v>1190.47</v>
      </c>
      <c r="Q71" s="3"/>
      <c r="R71" s="7">
        <f t="shared" si="12"/>
        <v>4.6116932011314882E-3</v>
      </c>
      <c r="S71" s="3"/>
      <c r="T71" s="8">
        <v>600</v>
      </c>
      <c r="U71" s="3"/>
      <c r="V71" s="7">
        <f t="shared" si="13"/>
        <v>2.7944799705648111E-3</v>
      </c>
      <c r="W71" s="3"/>
      <c r="X71" s="8">
        <f t="shared" si="14"/>
        <v>590.47</v>
      </c>
      <c r="Y71" s="3"/>
      <c r="Z71" s="7">
        <f t="shared" si="15"/>
        <v>0.98411666666666675</v>
      </c>
    </row>
    <row r="72" spans="1:26" s="70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8">
        <v>73.75</v>
      </c>
      <c r="E72" s="3"/>
      <c r="F72" s="7">
        <f t="shared" si="8"/>
        <v>2.7482130094255322E-3</v>
      </c>
      <c r="G72" s="3"/>
      <c r="H72" s="8"/>
      <c r="I72" s="3"/>
      <c r="J72" s="7">
        <f t="shared" si="9"/>
        <v>0</v>
      </c>
      <c r="K72" s="3"/>
      <c r="L72" s="8">
        <f t="shared" si="10"/>
        <v>73.75</v>
      </c>
      <c r="M72" s="3"/>
      <c r="N72" s="7">
        <f t="shared" si="11"/>
        <v>0</v>
      </c>
      <c r="O72" s="12"/>
      <c r="P72" s="8">
        <v>164.89</v>
      </c>
      <c r="Q72" s="3"/>
      <c r="R72" s="7">
        <f t="shared" si="12"/>
        <v>6.3875787876600928E-4</v>
      </c>
      <c r="S72" s="3"/>
      <c r="T72" s="8"/>
      <c r="U72" s="3"/>
      <c r="V72" s="7">
        <f t="shared" si="13"/>
        <v>0</v>
      </c>
      <c r="W72" s="3"/>
      <c r="X72" s="8">
        <f t="shared" si="14"/>
        <v>164.89</v>
      </c>
      <c r="Y72" s="3"/>
      <c r="Z72" s="7">
        <f t="shared" si="15"/>
        <v>0</v>
      </c>
    </row>
    <row r="73" spans="1:26" s="69" customFormat="1" ht="15" customHeight="1" outlineLevel="1" collapsed="1" x14ac:dyDescent="0.3">
      <c r="A73" s="2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SUM(OSRRefD22_13x_0)</f>
        <v>0</v>
      </c>
      <c r="E73" s="2"/>
      <c r="F73" s="6">
        <f t="shared" si="8"/>
        <v>0</v>
      </c>
      <c r="G73" s="2"/>
      <c r="H73" s="2">
        <f>SUM(OSRRefH22_13x_0)</f>
        <v>61</v>
      </c>
      <c r="I73" s="2"/>
      <c r="J73" s="6">
        <f t="shared" si="9"/>
        <v>2.5308052939468115E-3</v>
      </c>
      <c r="K73" s="2"/>
      <c r="L73" s="2">
        <f t="shared" si="10"/>
        <v>-61</v>
      </c>
      <c r="M73" s="2"/>
      <c r="N73" s="6">
        <f t="shared" si="11"/>
        <v>-1</v>
      </c>
      <c r="O73" s="14"/>
      <c r="P73" s="2">
        <f>SUM(OSRRefP22_13x_0)</f>
        <v>0</v>
      </c>
      <c r="Q73" s="2"/>
      <c r="R73" s="6">
        <f t="shared" si="12"/>
        <v>0</v>
      </c>
      <c r="S73" s="2"/>
      <c r="T73" s="2">
        <f>SUM(OSRRefT22_13x_0)</f>
        <v>963</v>
      </c>
      <c r="U73" s="2"/>
      <c r="V73" s="6">
        <f t="shared" si="13"/>
        <v>4.4851403527565213E-3</v>
      </c>
      <c r="W73" s="2"/>
      <c r="X73" s="2">
        <f t="shared" si="14"/>
        <v>-963</v>
      </c>
      <c r="Y73" s="2"/>
      <c r="Z73" s="6">
        <f t="shared" si="15"/>
        <v>-1</v>
      </c>
    </row>
    <row r="74" spans="1:26" s="70" customFormat="1" ht="15" hidden="1" customHeight="1" outlineLevel="2" x14ac:dyDescent="0.3">
      <c r="A74" s="26"/>
      <c r="B74" s="12" t="str">
        <f>CONCATENATE("          ","6258"," - ","MEMBERSHIP DUES")</f>
        <v xml:space="preserve">          6258 - MEMBERSHIP DUES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/>
      <c r="Q74" s="3"/>
      <c r="R74" s="7">
        <f t="shared" si="12"/>
        <v>0</v>
      </c>
      <c r="S74" s="3"/>
      <c r="T74" s="8">
        <v>395</v>
      </c>
      <c r="U74" s="3"/>
      <c r="V74" s="7">
        <f t="shared" si="13"/>
        <v>1.8396993139551672E-3</v>
      </c>
      <c r="W74" s="3"/>
      <c r="X74" s="8">
        <f t="shared" si="14"/>
        <v>-395</v>
      </c>
      <c r="Y74" s="3"/>
      <c r="Z74" s="7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","6275"," - ","SUBSCRIPTIONS")</f>
        <v xml:space="preserve">          6275 - SUBSCRIPTIONS</v>
      </c>
      <c r="C75" s="12"/>
      <c r="D75" s="8"/>
      <c r="E75" s="3"/>
      <c r="F75" s="7">
        <f t="shared" si="8"/>
        <v>0</v>
      </c>
      <c r="G75" s="3"/>
      <c r="H75" s="8">
        <v>61</v>
      </c>
      <c r="I75" s="3"/>
      <c r="J75" s="7">
        <f t="shared" si="9"/>
        <v>2.5308052939468115E-3</v>
      </c>
      <c r="K75" s="3"/>
      <c r="L75" s="8">
        <f t="shared" si="10"/>
        <v>-61</v>
      </c>
      <c r="M75" s="3"/>
      <c r="N75" s="7">
        <f t="shared" si="11"/>
        <v>-1</v>
      </c>
      <c r="O75" s="12"/>
      <c r="P75" s="8"/>
      <c r="Q75" s="3"/>
      <c r="R75" s="7">
        <f t="shared" si="12"/>
        <v>0</v>
      </c>
      <c r="S75" s="3"/>
      <c r="T75" s="8">
        <v>568</v>
      </c>
      <c r="U75" s="3"/>
      <c r="V75" s="7">
        <f t="shared" si="13"/>
        <v>2.6454410388013546E-3</v>
      </c>
      <c r="W75" s="3"/>
      <c r="X75" s="8">
        <f t="shared" si="14"/>
        <v>-568</v>
      </c>
      <c r="Y75" s="3"/>
      <c r="Z75" s="7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0</v>
      </c>
      <c r="E76" s="2"/>
      <c r="F76" s="6">
        <f t="shared" si="8"/>
        <v>0</v>
      </c>
      <c r="G76" s="2"/>
      <c r="H76" s="2">
        <f>SUM(OSRRefH22_14x_0)</f>
        <v>30</v>
      </c>
      <c r="I76" s="2"/>
      <c r="J76" s="6">
        <f t="shared" si="9"/>
        <v>1.2446583412853171E-3</v>
      </c>
      <c r="K76" s="2"/>
      <c r="L76" s="2">
        <f t="shared" si="10"/>
        <v>-30</v>
      </c>
      <c r="M76" s="2"/>
      <c r="N76" s="6">
        <f t="shared" si="11"/>
        <v>-1</v>
      </c>
      <c r="O76" s="14"/>
      <c r="P76" s="2">
        <f>SUM(OSRRefP22_14x_0)</f>
        <v>1036.6300000000001</v>
      </c>
      <c r="Q76" s="2"/>
      <c r="R76" s="6">
        <f t="shared" si="12"/>
        <v>4.0157412812493682E-3</v>
      </c>
      <c r="S76" s="2"/>
      <c r="T76" s="2">
        <f>SUM(OSRRefT22_14x_0)</f>
        <v>320</v>
      </c>
      <c r="U76" s="2"/>
      <c r="V76" s="6">
        <f t="shared" si="13"/>
        <v>1.490389317634566E-3</v>
      </c>
      <c r="W76" s="2"/>
      <c r="X76" s="2">
        <f t="shared" si="14"/>
        <v>716.63000000000011</v>
      </c>
      <c r="Y76" s="2"/>
      <c r="Z76" s="6">
        <f t="shared" si="15"/>
        <v>2.2394687500000003</v>
      </c>
    </row>
    <row r="77" spans="1:26" s="70" customFormat="1" ht="15" hidden="1" customHeight="1" outlineLevel="2" x14ac:dyDescent="0.3">
      <c r="A77" s="26"/>
      <c r="B77" s="12" t="str">
        <f>CONCATENATE("          ","6237"," - ","JANITORIAL SUPPLIES")</f>
        <v xml:space="preserve">          6237 - JANITORIAL SUPPLIES</v>
      </c>
      <c r="C77" s="12"/>
      <c r="D77" s="8"/>
      <c r="E77" s="3"/>
      <c r="F77" s="7">
        <f t="shared" si="8"/>
        <v>0</v>
      </c>
      <c r="G77" s="3"/>
      <c r="H77" s="8">
        <v>10</v>
      </c>
      <c r="I77" s="3"/>
      <c r="J77" s="7">
        <f t="shared" si="9"/>
        <v>4.1488611376177241E-4</v>
      </c>
      <c r="K77" s="3"/>
      <c r="L77" s="8">
        <f t="shared" si="10"/>
        <v>-10</v>
      </c>
      <c r="M77" s="3"/>
      <c r="N77" s="7">
        <f t="shared" si="11"/>
        <v>-1</v>
      </c>
      <c r="O77" s="12"/>
      <c r="P77" s="8">
        <v>77.17</v>
      </c>
      <c r="Q77" s="3"/>
      <c r="R77" s="7">
        <f t="shared" si="12"/>
        <v>2.9894442054929313E-4</v>
      </c>
      <c r="S77" s="3"/>
      <c r="T77" s="8">
        <v>160</v>
      </c>
      <c r="U77" s="3"/>
      <c r="V77" s="7">
        <f t="shared" si="13"/>
        <v>7.4519465881728298E-4</v>
      </c>
      <c r="W77" s="3"/>
      <c r="X77" s="8">
        <f t="shared" si="14"/>
        <v>-82.83</v>
      </c>
      <c r="Y77" s="3"/>
      <c r="Z77" s="7">
        <f t="shared" si="15"/>
        <v>-0.51768749999999997</v>
      </c>
    </row>
    <row r="78" spans="1:26" s="70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8"/>
      <c r="E78" s="3"/>
      <c r="F78" s="7">
        <f t="shared" si="8"/>
        <v>0</v>
      </c>
      <c r="G78" s="3"/>
      <c r="H78" s="8">
        <v>20</v>
      </c>
      <c r="I78" s="3"/>
      <c r="J78" s="7">
        <f t="shared" si="9"/>
        <v>8.2977222752354481E-4</v>
      </c>
      <c r="K78" s="3"/>
      <c r="L78" s="8">
        <f t="shared" si="10"/>
        <v>-20</v>
      </c>
      <c r="M78" s="3"/>
      <c r="N78" s="7">
        <f t="shared" si="11"/>
        <v>-1</v>
      </c>
      <c r="O78" s="12"/>
      <c r="P78" s="8">
        <v>359.96</v>
      </c>
      <c r="Q78" s="3"/>
      <c r="R78" s="7">
        <f t="shared" si="12"/>
        <v>1.3944283221578792E-3</v>
      </c>
      <c r="S78" s="3"/>
      <c r="T78" s="8">
        <v>160</v>
      </c>
      <c r="U78" s="3"/>
      <c r="V78" s="7">
        <f t="shared" si="13"/>
        <v>7.4519465881728298E-4</v>
      </c>
      <c r="W78" s="3"/>
      <c r="X78" s="8">
        <f t="shared" si="14"/>
        <v>199.95999999999998</v>
      </c>
      <c r="Y78" s="3"/>
      <c r="Z78" s="7">
        <f t="shared" si="15"/>
        <v>1.2497499999999999</v>
      </c>
    </row>
    <row r="79" spans="1:26" s="70" customFormat="1" ht="15" hidden="1" customHeight="1" outlineLevel="2" x14ac:dyDescent="0.3">
      <c r="A79" s="26"/>
      <c r="B79" s="12" t="str">
        <f>CONCATENATE("          ","6247"," - ","STORE SUPPLIES")</f>
        <v xml:space="preserve">          6247 - STORE SUPPLIES</v>
      </c>
      <c r="C79" s="12"/>
      <c r="D79" s="8"/>
      <c r="E79" s="3"/>
      <c r="F79" s="7">
        <f t="shared" si="8"/>
        <v>0</v>
      </c>
      <c r="G79" s="3"/>
      <c r="H79" s="8"/>
      <c r="I79" s="3"/>
      <c r="J79" s="7">
        <f t="shared" si="9"/>
        <v>0</v>
      </c>
      <c r="K79" s="3"/>
      <c r="L79" s="8">
        <f t="shared" si="10"/>
        <v>0</v>
      </c>
      <c r="M79" s="3"/>
      <c r="N79" s="7">
        <f t="shared" si="11"/>
        <v>0</v>
      </c>
      <c r="O79" s="12"/>
      <c r="P79" s="8">
        <v>599.5</v>
      </c>
      <c r="Q79" s="3"/>
      <c r="R79" s="7">
        <f t="shared" si="12"/>
        <v>2.3223685385421952E-3</v>
      </c>
      <c r="S79" s="3"/>
      <c r="T79" s="8"/>
      <c r="U79" s="3"/>
      <c r="V79" s="7">
        <f t="shared" si="13"/>
        <v>0</v>
      </c>
      <c r="W79" s="3"/>
      <c r="X79" s="8">
        <f t="shared" si="14"/>
        <v>599.5</v>
      </c>
      <c r="Y79" s="3"/>
      <c r="Z79" s="7">
        <f t="shared" si="15"/>
        <v>0</v>
      </c>
    </row>
    <row r="80" spans="1:26" s="69" customFormat="1" ht="15" customHeight="1" outlineLevel="1" collapsed="1" x14ac:dyDescent="0.3">
      <c r="A80" s="25"/>
      <c r="B80" s="14" t="str">
        <f>CONCATENATE("     ","Telephone/Data Lines                              ")</f>
        <v xml:space="preserve">     Telephone/Data Lines                              </v>
      </c>
      <c r="C80" s="14"/>
      <c r="D80" s="2">
        <f>SUM(OSRRefD22_15x_0)</f>
        <v>310.19</v>
      </c>
      <c r="E80" s="2"/>
      <c r="F80" s="6">
        <f t="shared" si="8"/>
        <v>1.1558890757880757E-2</v>
      </c>
      <c r="G80" s="2"/>
      <c r="H80" s="2">
        <f>SUM(OSRRefH22_15x_0)</f>
        <v>250</v>
      </c>
      <c r="I80" s="2"/>
      <c r="J80" s="6">
        <f t="shared" si="9"/>
        <v>1.0372152844044309E-2</v>
      </c>
      <c r="K80" s="2"/>
      <c r="L80" s="2">
        <f t="shared" si="10"/>
        <v>60.19</v>
      </c>
      <c r="M80" s="2"/>
      <c r="N80" s="6">
        <f t="shared" si="11"/>
        <v>0.24076</v>
      </c>
      <c r="O80" s="14"/>
      <c r="P80" s="2">
        <f>SUM(OSRRefP22_15x_0)</f>
        <v>2490.0700000000002</v>
      </c>
      <c r="Q80" s="2"/>
      <c r="R80" s="6">
        <f t="shared" si="12"/>
        <v>9.646138826968749E-3</v>
      </c>
      <c r="S80" s="2"/>
      <c r="T80" s="2">
        <f>SUM(OSRRefT22_15x_0)</f>
        <v>2000</v>
      </c>
      <c r="U80" s="2"/>
      <c r="V80" s="6">
        <f t="shared" si="13"/>
        <v>9.3149332352160368E-3</v>
      </c>
      <c r="W80" s="2"/>
      <c r="X80" s="2">
        <f t="shared" si="14"/>
        <v>490.07000000000016</v>
      </c>
      <c r="Y80" s="2"/>
      <c r="Z80" s="6">
        <f t="shared" si="15"/>
        <v>0.24503500000000009</v>
      </c>
    </row>
    <row r="81" spans="1:26" s="70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8">
        <v>310.19</v>
      </c>
      <c r="E81" s="3"/>
      <c r="F81" s="7">
        <f t="shared" si="8"/>
        <v>1.1558890757880757E-2</v>
      </c>
      <c r="G81" s="3"/>
      <c r="H81" s="8">
        <v>250</v>
      </c>
      <c r="I81" s="3"/>
      <c r="J81" s="7">
        <f t="shared" si="9"/>
        <v>1.0372152844044309E-2</v>
      </c>
      <c r="K81" s="3"/>
      <c r="L81" s="8">
        <f t="shared" si="10"/>
        <v>60.19</v>
      </c>
      <c r="M81" s="3"/>
      <c r="N81" s="7">
        <f t="shared" si="11"/>
        <v>0.24076</v>
      </c>
      <c r="O81" s="12"/>
      <c r="P81" s="8">
        <v>2490.0700000000002</v>
      </c>
      <c r="Q81" s="3"/>
      <c r="R81" s="7">
        <f t="shared" si="12"/>
        <v>9.646138826968749E-3</v>
      </c>
      <c r="S81" s="3"/>
      <c r="T81" s="8">
        <v>2000</v>
      </c>
      <c r="U81" s="3"/>
      <c r="V81" s="7">
        <f t="shared" si="13"/>
        <v>9.3149332352160368E-3</v>
      </c>
      <c r="W81" s="3"/>
      <c r="X81" s="8">
        <f t="shared" si="14"/>
        <v>490.07000000000016</v>
      </c>
      <c r="Y81" s="3"/>
      <c r="Z81" s="7">
        <f t="shared" si="15"/>
        <v>0.24503500000000009</v>
      </c>
    </row>
    <row r="82" spans="1:26" s="69" customFormat="1" ht="15" customHeight="1" outlineLevel="1" collapsed="1" x14ac:dyDescent="0.3">
      <c r="A82" s="25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SUM(OSRRefD22_16x_0)</f>
        <v>116.74</v>
      </c>
      <c r="E82" s="2"/>
      <c r="F82" s="6">
        <f t="shared" si="8"/>
        <v>4.3501882945130386E-3</v>
      </c>
      <c r="G82" s="2"/>
      <c r="H82" s="2">
        <f>SUM(OSRRefH22_16x_0)</f>
        <v>25</v>
      </c>
      <c r="I82" s="2"/>
      <c r="J82" s="6">
        <f t="shared" si="9"/>
        <v>1.037215284404431E-3</v>
      </c>
      <c r="K82" s="2"/>
      <c r="L82" s="2">
        <f t="shared" si="10"/>
        <v>91.74</v>
      </c>
      <c r="M82" s="2"/>
      <c r="N82" s="6">
        <f t="shared" si="11"/>
        <v>3.6696</v>
      </c>
      <c r="O82" s="14"/>
      <c r="P82" s="2">
        <f>SUM(OSRRefP22_16x_0)</f>
        <v>316.35000000000002</v>
      </c>
      <c r="Q82" s="2"/>
      <c r="R82" s="6">
        <f t="shared" si="12"/>
        <v>1.2254900536577541E-3</v>
      </c>
      <c r="S82" s="2"/>
      <c r="T82" s="2">
        <f>SUM(OSRRefT22_16x_0)</f>
        <v>450</v>
      </c>
      <c r="U82" s="2"/>
      <c r="V82" s="6">
        <f t="shared" si="13"/>
        <v>2.0958599779236082E-3</v>
      </c>
      <c r="W82" s="2"/>
      <c r="X82" s="2">
        <f t="shared" si="14"/>
        <v>-133.64999999999998</v>
      </c>
      <c r="Y82" s="2"/>
      <c r="Z82" s="6">
        <f t="shared" si="15"/>
        <v>-0.29699999999999993</v>
      </c>
    </row>
    <row r="83" spans="1:26" s="70" customFormat="1" ht="15" hidden="1" customHeight="1" outlineLevel="2" x14ac:dyDescent="0.3">
      <c r="A83" s="26"/>
      <c r="B83" s="12" t="str">
        <f>CONCATENATE("          ","6294"," - ","TRAVEL OPERATIONAL")</f>
        <v xml:space="preserve">          6294 - TRAVEL OPERATIONAL</v>
      </c>
      <c r="C83" s="12"/>
      <c r="D83" s="8">
        <v>116.74</v>
      </c>
      <c r="E83" s="3"/>
      <c r="F83" s="7">
        <f t="shared" si="8"/>
        <v>4.3501882945130386E-3</v>
      </c>
      <c r="G83" s="3"/>
      <c r="H83" s="8"/>
      <c r="I83" s="3"/>
      <c r="J83" s="7">
        <f t="shared" si="9"/>
        <v>0</v>
      </c>
      <c r="K83" s="3"/>
      <c r="L83" s="8">
        <f t="shared" si="10"/>
        <v>116.74</v>
      </c>
      <c r="M83" s="3"/>
      <c r="N83" s="7">
        <f t="shared" si="11"/>
        <v>0</v>
      </c>
      <c r="O83" s="12"/>
      <c r="P83" s="8">
        <v>316.35000000000002</v>
      </c>
      <c r="Q83" s="3"/>
      <c r="R83" s="7">
        <f t="shared" si="12"/>
        <v>1.2254900536577541E-3</v>
      </c>
      <c r="S83" s="3"/>
      <c r="T83" s="8"/>
      <c r="U83" s="3"/>
      <c r="V83" s="7">
        <f t="shared" si="13"/>
        <v>0</v>
      </c>
      <c r="W83" s="3"/>
      <c r="X83" s="8">
        <f t="shared" si="14"/>
        <v>316.35000000000002</v>
      </c>
      <c r="Y83" s="3"/>
      <c r="Z83" s="7">
        <f t="shared" si="15"/>
        <v>0</v>
      </c>
    </row>
    <row r="84" spans="1:26" s="70" customFormat="1" ht="15" hidden="1" customHeight="1" outlineLevel="2" x14ac:dyDescent="0.3">
      <c r="A84" s="26"/>
      <c r="B84" s="12" t="str">
        <f>CONCATENATE("          ","6298"," - ","VEHICLE MILEAGE")</f>
        <v xml:space="preserve">          6298 - VEHICLE MILEAGE</v>
      </c>
      <c r="C84" s="12"/>
      <c r="D84" s="8"/>
      <c r="E84" s="3"/>
      <c r="F84" s="7">
        <f t="shared" si="8"/>
        <v>0</v>
      </c>
      <c r="G84" s="3"/>
      <c r="H84" s="8">
        <v>25</v>
      </c>
      <c r="I84" s="3"/>
      <c r="J84" s="7">
        <f t="shared" si="9"/>
        <v>1.037215284404431E-3</v>
      </c>
      <c r="K84" s="3"/>
      <c r="L84" s="8">
        <f t="shared" si="10"/>
        <v>-25</v>
      </c>
      <c r="M84" s="3"/>
      <c r="N84" s="7">
        <f t="shared" si="11"/>
        <v>-1</v>
      </c>
      <c r="O84" s="12"/>
      <c r="P84" s="8"/>
      <c r="Q84" s="3"/>
      <c r="R84" s="7">
        <f t="shared" si="12"/>
        <v>0</v>
      </c>
      <c r="S84" s="3"/>
      <c r="T84" s="8">
        <v>450</v>
      </c>
      <c r="U84" s="3"/>
      <c r="V84" s="7">
        <f t="shared" si="13"/>
        <v>2.0958599779236082E-3</v>
      </c>
      <c r="W84" s="3"/>
      <c r="X84" s="8">
        <f t="shared" si="14"/>
        <v>-450</v>
      </c>
      <c r="Y84" s="3"/>
      <c r="Z84" s="7">
        <f t="shared" si="15"/>
        <v>-1</v>
      </c>
    </row>
    <row r="85" spans="1:26" s="69" customFormat="1" ht="15" customHeight="1" outlineLevel="1" collapsed="1" x14ac:dyDescent="0.3">
      <c r="A85" s="25"/>
      <c r="B85" s="14" t="str">
        <f>CONCATENATE("     ","Utilities                                         ")</f>
        <v xml:space="preserve">     Utilities                                         </v>
      </c>
      <c r="C85" s="14"/>
      <c r="D85" s="2">
        <f>SUM(OSRRefD22_17x_0)</f>
        <v>355.65</v>
      </c>
      <c r="E85" s="2"/>
      <c r="F85" s="6">
        <f t="shared" si="8"/>
        <v>1.3252907888843261E-2</v>
      </c>
      <c r="G85" s="2"/>
      <c r="H85" s="2">
        <f>SUM(OSRRefH22_17x_0)</f>
        <v>2800</v>
      </c>
      <c r="I85" s="2"/>
      <c r="J85" s="6">
        <f t="shared" si="9"/>
        <v>0.11616811185329627</v>
      </c>
      <c r="K85" s="2"/>
      <c r="L85" s="2">
        <f t="shared" si="10"/>
        <v>-2444.35</v>
      </c>
      <c r="M85" s="2"/>
      <c r="N85" s="6">
        <f t="shared" si="11"/>
        <v>-0.87298214285714282</v>
      </c>
      <c r="O85" s="14"/>
      <c r="P85" s="2">
        <f>SUM(OSRRefP22_17x_0)</f>
        <v>895.07</v>
      </c>
      <c r="Q85" s="2"/>
      <c r="R85" s="6">
        <f t="shared" si="12"/>
        <v>3.4673601464436411E-3</v>
      </c>
      <c r="S85" s="2"/>
      <c r="T85" s="2">
        <f>SUM(OSRRefT22_17x_0)</f>
        <v>3640</v>
      </c>
      <c r="U85" s="2"/>
      <c r="V85" s="6">
        <f t="shared" si="13"/>
        <v>1.6953178488093187E-2</v>
      </c>
      <c r="W85" s="2"/>
      <c r="X85" s="2">
        <f t="shared" si="14"/>
        <v>-2744.93</v>
      </c>
      <c r="Y85" s="2"/>
      <c r="Z85" s="6">
        <f t="shared" si="15"/>
        <v>-0.75410164835164828</v>
      </c>
    </row>
    <row r="86" spans="1:26" s="70" customFormat="1" ht="15" hidden="1" customHeight="1" outlineLevel="2" x14ac:dyDescent="0.3">
      <c r="A86" s="26"/>
      <c r="B86" s="12" t="str">
        <f>CONCATENATE("          ","6274"," - ","UTILITIES")</f>
        <v xml:space="preserve">          6274 - UTILITIES</v>
      </c>
      <c r="C86" s="12"/>
      <c r="D86" s="8">
        <v>355.65</v>
      </c>
      <c r="E86" s="3"/>
      <c r="F86" s="7">
        <f t="shared" si="8"/>
        <v>1.3252907888843261E-2</v>
      </c>
      <c r="G86" s="3"/>
      <c r="H86" s="8">
        <v>2800</v>
      </c>
      <c r="I86" s="3"/>
      <c r="J86" s="7">
        <f t="shared" si="9"/>
        <v>0.11616811185329627</v>
      </c>
      <c r="K86" s="3"/>
      <c r="L86" s="8">
        <f t="shared" si="10"/>
        <v>-2444.35</v>
      </c>
      <c r="M86" s="3"/>
      <c r="N86" s="7">
        <f t="shared" si="11"/>
        <v>-0.87298214285714282</v>
      </c>
      <c r="O86" s="12"/>
      <c r="P86" s="8">
        <v>895.07</v>
      </c>
      <c r="Q86" s="3"/>
      <c r="R86" s="7">
        <f t="shared" si="12"/>
        <v>3.4673601464436411E-3</v>
      </c>
      <c r="S86" s="3"/>
      <c r="T86" s="8">
        <v>3640</v>
      </c>
      <c r="U86" s="3"/>
      <c r="V86" s="7">
        <f t="shared" si="13"/>
        <v>1.6953178488093187E-2</v>
      </c>
      <c r="W86" s="3"/>
      <c r="X86" s="8">
        <f t="shared" si="14"/>
        <v>-2744.93</v>
      </c>
      <c r="Y86" s="3"/>
      <c r="Z86" s="7">
        <f t="shared" si="15"/>
        <v>-0.75410164835164828</v>
      </c>
    </row>
    <row r="87" spans="1:26" s="65" customFormat="1" ht="15" customHeight="1" x14ac:dyDescent="0.3">
      <c r="A87" s="35"/>
      <c r="B87" s="35"/>
      <c r="C87" s="35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5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3" customFormat="1" ht="15" customHeight="1" x14ac:dyDescent="0.3">
      <c r="A88" s="11"/>
      <c r="B88" s="27" t="s">
        <v>291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11"/>
      <c r="B90" s="28" t="s">
        <v>292</v>
      </c>
      <c r="C90" s="28"/>
      <c r="D90" s="21">
        <f>+D24-D26+D88</f>
        <v>-1705.8000000000011</v>
      </c>
      <c r="E90" s="15"/>
      <c r="F90" s="22">
        <f>IF(D$12=0,0,D90/D$12)</f>
        <v>-6.3564769511567129E-2</v>
      </c>
      <c r="G90" s="15"/>
      <c r="H90" s="21">
        <f>+H24-H26+H88</f>
        <v>-9956.0271439692297</v>
      </c>
      <c r="I90" s="15"/>
      <c r="J90" s="22">
        <f>IF(H$12=0,0,H90/H$12)</f>
        <v>-0.41306174102681115</v>
      </c>
      <c r="K90" s="16"/>
      <c r="L90" s="21">
        <f>+D90-H90</f>
        <v>8250.2271439692286</v>
      </c>
      <c r="M90" s="16"/>
      <c r="N90" s="22">
        <f>IF(H90=0,0,L90/H90)</f>
        <v>-0.82866659809849219</v>
      </c>
      <c r="O90" s="27"/>
      <c r="P90" s="21">
        <f>+P24-P26+P88</f>
        <v>-185.36000000010245</v>
      </c>
      <c r="Q90" s="15"/>
      <c r="R90" s="22">
        <f>IF(P$12=0,0,P90/P$12)</f>
        <v>-7.1805543336850579E-4</v>
      </c>
      <c r="S90" s="15"/>
      <c r="T90" s="21">
        <f>+T24-T26+T88</f>
        <v>-61119.529743930761</v>
      </c>
      <c r="U90" s="15"/>
      <c r="V90" s="22">
        <f>IF(T$12=0,0,T90/T$12)</f>
        <v>-0.28466216946625789</v>
      </c>
      <c r="W90" s="16"/>
      <c r="X90" s="21">
        <f>+P90-T90</f>
        <v>60934.169743930659</v>
      </c>
      <c r="Y90" s="16"/>
      <c r="Z90" s="22">
        <f>IF(T90=0,0,X90/T90)</f>
        <v>-0.9969672541530229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49"/>
      <c r="B92" s="11" t="s">
        <v>293</v>
      </c>
      <c r="C92" s="11"/>
      <c r="D92" s="5">
        <v>1604.57</v>
      </c>
      <c r="E92" s="5"/>
      <c r="F92" s="13">
        <f>IF(D$12=0,0,D92/D$12)</f>
        <v>5.9792544386900695E-2</v>
      </c>
      <c r="G92" s="5"/>
      <c r="H92" s="5">
        <v>2365</v>
      </c>
      <c r="I92" s="5"/>
      <c r="J92" s="13">
        <f>IF(H$12=0,0,H92/H$12)</f>
        <v>9.8120565904659174E-2</v>
      </c>
      <c r="K92" s="5"/>
      <c r="L92" s="5">
        <f>+D92-H92</f>
        <v>-760.43000000000006</v>
      </c>
      <c r="M92" s="5"/>
      <c r="N92" s="13">
        <f>IF(H92=0,0,L92/H92)</f>
        <v>-0.32153488372093025</v>
      </c>
      <c r="O92" s="11"/>
      <c r="P92" s="5">
        <v>32221.94</v>
      </c>
      <c r="Q92" s="5"/>
      <c r="R92" s="13">
        <f>IF(P$12=0,0,P92/P$12)</f>
        <v>0.12482271844335997</v>
      </c>
      <c r="S92" s="5"/>
      <c r="T92" s="5">
        <v>26248</v>
      </c>
      <c r="U92" s="5"/>
      <c r="V92" s="13">
        <f>IF(T$12=0,0,T92/T$12)</f>
        <v>0.12224918377897527</v>
      </c>
      <c r="W92" s="5"/>
      <c r="X92" s="5">
        <f>+P92-T92</f>
        <v>5973.9399999999987</v>
      </c>
      <c r="Y92" s="5"/>
      <c r="Z92" s="13">
        <f>IF(T92=0,0,X92/T92)</f>
        <v>0.22759600731484297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8" t="s">
        <v>294</v>
      </c>
      <c r="C94" s="28"/>
      <c r="D94" s="33">
        <f>+D90-D92</f>
        <v>-3310.3700000000008</v>
      </c>
      <c r="E94" s="15"/>
      <c r="F94" s="32">
        <f>IF(D$12=0,0,D94/D$12)</f>
        <v>-0.12335731389846782</v>
      </c>
      <c r="G94" s="15"/>
      <c r="H94" s="33">
        <f>+H90-H92</f>
        <v>-12321.02714396923</v>
      </c>
      <c r="I94" s="15"/>
      <c r="J94" s="32">
        <f>IF(H$12=0,0,H94/H$12)</f>
        <v>-0.51118230693147038</v>
      </c>
      <c r="K94" s="16"/>
      <c r="L94" s="33">
        <f>D94-H94</f>
        <v>9010.6571439692289</v>
      </c>
      <c r="M94" s="16"/>
      <c r="N94" s="32">
        <f>IF(H94=0,0,L94/H94)</f>
        <v>-0.73132353647801784</v>
      </c>
      <c r="O94" s="27"/>
      <c r="P94" s="33">
        <f>+P90-P92</f>
        <v>-32407.300000000101</v>
      </c>
      <c r="Q94" s="15"/>
      <c r="R94" s="32">
        <f>IF(P$12=0,0,P94/P$12)</f>
        <v>-0.12554077387672849</v>
      </c>
      <c r="S94" s="15"/>
      <c r="T94" s="33">
        <f>+T90-T92</f>
        <v>-87367.529743930761</v>
      </c>
      <c r="U94" s="15"/>
      <c r="V94" s="32">
        <f>IF(T$12=0,0,T94/T$12)</f>
        <v>-0.40691135324523314</v>
      </c>
      <c r="W94" s="16"/>
      <c r="X94" s="33">
        <f>P94-T94</f>
        <v>54960.229743930657</v>
      </c>
      <c r="Y94" s="16"/>
      <c r="Z94" s="32">
        <f>IF(T94=0,0,X94/T94)</f>
        <v>-0.62906928815563345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8" t="s">
        <v>297</v>
      </c>
      <c r="C97" s="28"/>
      <c r="D97" s="34">
        <f>SUM(D94:D96)</f>
        <v>-3310.3700000000008</v>
      </c>
      <c r="E97" s="15"/>
      <c r="F97" s="30">
        <f>IF(D$12=0,0,D97/D$12)</f>
        <v>-0.12335731389846782</v>
      </c>
      <c r="G97" s="15"/>
      <c r="H97" s="34">
        <f>SUM(H94:H96)</f>
        <v>-12321.02714396923</v>
      </c>
      <c r="I97" s="15"/>
      <c r="J97" s="30">
        <f>IF(H$12=0,0,H97/H$12)</f>
        <v>-0.51118230693147038</v>
      </c>
      <c r="K97" s="16"/>
      <c r="L97" s="34">
        <f>+D97-H97</f>
        <v>9010.6571439692289</v>
      </c>
      <c r="M97" s="16"/>
      <c r="N97" s="30">
        <f>IF(H97=0,0,L97/H97)</f>
        <v>-0.73132353647801784</v>
      </c>
      <c r="O97" s="27"/>
      <c r="P97" s="34">
        <f>SUM(P94:P96)</f>
        <v>-32407.300000000101</v>
      </c>
      <c r="Q97" s="15"/>
      <c r="R97" s="30">
        <f>IF(P$12=0,0,P97/P$12)</f>
        <v>-0.12554077387672849</v>
      </c>
      <c r="S97" s="15"/>
      <c r="T97" s="34">
        <f>SUM(T94:T96)</f>
        <v>-87367.529743930761</v>
      </c>
      <c r="U97" s="15"/>
      <c r="V97" s="30">
        <f>IF(T$12=0,0,T97/T$12)</f>
        <v>-0.40691135324523314</v>
      </c>
      <c r="W97" s="16"/>
      <c r="X97" s="34">
        <f>+P97-T97</f>
        <v>54960.229743930657</v>
      </c>
      <c r="Y97" s="16"/>
      <c r="Z97" s="30">
        <f>IF(T97=0,0,X97/T97)</f>
        <v>-0.62906928815563345</v>
      </c>
    </row>
    <row r="98" spans="1:26" ht="15" customHeight="1" x14ac:dyDescent="0.3">
      <c r="A98" s="10"/>
      <c r="C98" s="10"/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6" ht="15" customHeight="1" x14ac:dyDescent="0.3">
      <c r="A99" s="10"/>
      <c r="B99" s="57">
        <v>44634.883430555557</v>
      </c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6" ht="15" customHeight="1" x14ac:dyDescent="0.3">
      <c r="A100" s="10"/>
      <c r="B100" s="56" t="s">
        <v>298</v>
      </c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0"/>
      <c r="B101" s="54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644E4-0EBF-0971-72E9-23685C2F796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299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FF315-B848-FA98-6B06-A71FBA07DB6C}">
  <sheetPr>
    <tabColor rgb="FFFFFF0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308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24174.530000000002</v>
      </c>
      <c r="E12" s="5"/>
      <c r="F12" s="13"/>
      <c r="G12" s="5"/>
      <c r="H12" s="5">
        <f>SUM(OSRRefH13x_0)</f>
        <v>46600</v>
      </c>
      <c r="I12" s="5"/>
      <c r="J12" s="13"/>
      <c r="K12" s="5"/>
      <c r="L12" s="5">
        <f t="shared" ref="L12:L17" si="0">+D12-H12</f>
        <v>-22425.469999999998</v>
      </c>
      <c r="M12" s="5"/>
      <c r="N12" s="13">
        <f t="shared" ref="N12:N17" si="1">IF(H12=0,0,L12/H12)</f>
        <v>-0.48123326180257503</v>
      </c>
      <c r="O12" s="11"/>
      <c r="P12" s="5">
        <f>SUM(OSRRefP13x_0)</f>
        <v>146415.98000000001</v>
      </c>
      <c r="Q12" s="5"/>
      <c r="R12" s="13"/>
      <c r="S12" s="5"/>
      <c r="T12" s="5">
        <f>SUM(OSRRefT13x_0)</f>
        <v>266730</v>
      </c>
      <c r="U12" s="5"/>
      <c r="V12" s="13"/>
      <c r="W12" s="5"/>
      <c r="X12" s="5">
        <f t="shared" ref="X12:X17" si="2">+P12-T12</f>
        <v>-120314.01999999999</v>
      </c>
      <c r="Y12" s="5"/>
      <c r="Z12" s="13">
        <f t="shared" ref="Z12:Z17" si="3">IF(T12=0,0,X12/T12)</f>
        <v>-0.4510704457691298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--17204.32</f>
        <v>17204.32</v>
      </c>
      <c r="E13" s="3"/>
      <c r="F13" s="20"/>
      <c r="G13" s="3"/>
      <c r="H13" s="3">
        <v>16800</v>
      </c>
      <c r="I13" s="3"/>
      <c r="J13" s="20"/>
      <c r="K13" s="3"/>
      <c r="L13" s="3">
        <f t="shared" si="0"/>
        <v>404.31999999999971</v>
      </c>
      <c r="M13" s="3"/>
      <c r="N13" s="20">
        <f t="shared" si="1"/>
        <v>2.4066666666666649E-2</v>
      </c>
      <c r="O13" s="12"/>
      <c r="P13" s="3">
        <f>--117516.11</f>
        <v>117516.11</v>
      </c>
      <c r="Q13" s="3"/>
      <c r="R13" s="20"/>
      <c r="S13" s="3"/>
      <c r="T13" s="3">
        <v>151430</v>
      </c>
      <c r="U13" s="3"/>
      <c r="V13" s="20"/>
      <c r="W13" s="3"/>
      <c r="X13" s="3">
        <f t="shared" si="2"/>
        <v>-33913.89</v>
      </c>
      <c r="Y13" s="3"/>
      <c r="Z13" s="20">
        <f t="shared" si="3"/>
        <v>-0.22395753813643268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--7098.56</f>
        <v>7098.56</v>
      </c>
      <c r="E14" s="3"/>
      <c r="F14" s="20"/>
      <c r="G14" s="3"/>
      <c r="H14" s="3">
        <v>29800</v>
      </c>
      <c r="I14" s="3"/>
      <c r="J14" s="20"/>
      <c r="K14" s="3"/>
      <c r="L14" s="3">
        <f t="shared" si="0"/>
        <v>-22701.439999999999</v>
      </c>
      <c r="M14" s="3"/>
      <c r="N14" s="20">
        <f t="shared" si="1"/>
        <v>-0.76179328859060402</v>
      </c>
      <c r="O14" s="12"/>
      <c r="P14" s="3">
        <f>--29586.62</f>
        <v>29586.62</v>
      </c>
      <c r="Q14" s="3"/>
      <c r="R14" s="20"/>
      <c r="S14" s="3"/>
      <c r="T14" s="3">
        <v>115300</v>
      </c>
      <c r="U14" s="3"/>
      <c r="V14" s="20"/>
      <c r="W14" s="3"/>
      <c r="X14" s="3">
        <f t="shared" si="2"/>
        <v>-85713.38</v>
      </c>
      <c r="Y14" s="3"/>
      <c r="Z14" s="20">
        <f t="shared" si="3"/>
        <v>-0.74339444926279274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-128.35</f>
        <v>-128.35</v>
      </c>
      <c r="E17" s="3"/>
      <c r="F17" s="20"/>
      <c r="G17" s="3"/>
      <c r="H17" s="3"/>
      <c r="I17" s="3"/>
      <c r="J17" s="20"/>
      <c r="K17" s="3"/>
      <c r="L17" s="3">
        <f t="shared" si="0"/>
        <v>-128.35</v>
      </c>
      <c r="M17" s="3"/>
      <c r="N17" s="20">
        <f t="shared" si="1"/>
        <v>0</v>
      </c>
      <c r="O17" s="12"/>
      <c r="P17" s="3">
        <f>-686.75</f>
        <v>-686.75</v>
      </c>
      <c r="Q17" s="3"/>
      <c r="R17" s="20"/>
      <c r="S17" s="3"/>
      <c r="T17" s="3"/>
      <c r="U17" s="3"/>
      <c r="V17" s="20"/>
      <c r="W17" s="3"/>
      <c r="X17" s="3">
        <f t="shared" si="2"/>
        <v>-686.75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5.641460720339405E-5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5.641460720339405E-5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D12-D19</f>
        <v>24174.530000000002</v>
      </c>
      <c r="E23" s="15"/>
      <c r="F23" s="22">
        <f>IF(D$12=0,0,D23/D$12)</f>
        <v>1</v>
      </c>
      <c r="G23" s="15"/>
      <c r="H23" s="21">
        <f>H12-H19</f>
        <v>46600</v>
      </c>
      <c r="I23" s="15"/>
      <c r="J23" s="22">
        <f>IF(H$12=0,0,H23/H$12)</f>
        <v>1</v>
      </c>
      <c r="K23" s="16"/>
      <c r="L23" s="21">
        <f>+D23-H23</f>
        <v>-22425.469999999998</v>
      </c>
      <c r="M23" s="16"/>
      <c r="N23" s="22">
        <f>IF(H23=0,0,L23/H23)</f>
        <v>-0.48123326180257503</v>
      </c>
      <c r="O23" s="27"/>
      <c r="P23" s="21">
        <f>P12-P19</f>
        <v>146407.72</v>
      </c>
      <c r="Q23" s="15"/>
      <c r="R23" s="22">
        <f>IF(P$12=0,0,P23/P$12)</f>
        <v>0.9999435853927966</v>
      </c>
      <c r="S23" s="15"/>
      <c r="T23" s="21">
        <f>T12-T19</f>
        <v>266730</v>
      </c>
      <c r="U23" s="15"/>
      <c r="V23" s="22">
        <f>IF(T$12=0,0,T23/T$12)</f>
        <v>1</v>
      </c>
      <c r="W23" s="16"/>
      <c r="X23" s="21">
        <f>+P23-T23</f>
        <v>-120322.28</v>
      </c>
      <c r="Y23" s="16"/>
      <c r="Z23" s="22">
        <f>IF(T23=0,0,X23/T23)</f>
        <v>-0.45110141341431409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20936.3</v>
      </c>
      <c r="E25" s="23"/>
      <c r="F25" s="29">
        <f t="shared" ref="F25:F70" si="4">IF(D$12=0,0,D25/D$12)</f>
        <v>0.8660478611166379</v>
      </c>
      <c r="G25" s="23"/>
      <c r="H25" s="23" cm="1">
        <f t="array" ref="H25">SUM(OSRRefH22x_0)</f>
        <v>37607.656323615389</v>
      </c>
      <c r="I25" s="23"/>
      <c r="J25" s="29">
        <f t="shared" ref="J25:J70" si="5">IF(H$12=0,0,H25/H$12)</f>
        <v>0.80703125157972933</v>
      </c>
      <c r="K25" s="5"/>
      <c r="L25" s="23">
        <f t="shared" ref="L25:L70" si="6">+D25-H25</f>
        <v>-16671.35632361539</v>
      </c>
      <c r="M25" s="5"/>
      <c r="N25" s="29">
        <f t="shared" ref="N25:N70" si="7">IF(H25=0,0,L25/H25)</f>
        <v>-0.44329686966286069</v>
      </c>
      <c r="O25" s="11"/>
      <c r="P25" s="23" cm="1">
        <f t="array" ref="P25">SUM(OSRRefP22x_0)</f>
        <v>182985.96000000002</v>
      </c>
      <c r="Q25" s="23"/>
      <c r="R25" s="29">
        <f t="shared" ref="R25:R70" si="8">IF(P$12=0,0,P25/P$12)</f>
        <v>1.2497676824619828</v>
      </c>
      <c r="S25" s="23"/>
      <c r="T25" s="23" cm="1">
        <f t="array" ref="T25">SUM(OSRRefT22x_0)</f>
        <v>252312.34026332706</v>
      </c>
      <c r="U25" s="23"/>
      <c r="V25" s="29">
        <f t="shared" ref="V25:V70" si="9">IF(T$12=0,0,T25/T$12)</f>
        <v>0.94594661366673061</v>
      </c>
      <c r="W25" s="5"/>
      <c r="X25" s="23">
        <f t="shared" ref="X25:X70" si="10">+P25-T25</f>
        <v>-69326.380263327039</v>
      </c>
      <c r="Y25" s="5"/>
      <c r="Z25" s="29">
        <f t="shared" ref="Z25:Z70" si="11">IF(T25=0,0,X25/T25)</f>
        <v>-0.27476412842500769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4515.66</v>
      </c>
      <c r="E26" s="2"/>
      <c r="F26" s="6">
        <f t="shared" si="4"/>
        <v>0.18679411761055953</v>
      </c>
      <c r="G26" s="2"/>
      <c r="H26" s="2">
        <f>SUM(OSRRefH22_0x_0)</f>
        <v>4568.4361697692329</v>
      </c>
      <c r="I26" s="2"/>
      <c r="J26" s="6">
        <f t="shared" si="5"/>
        <v>9.8035110939253919E-2</v>
      </c>
      <c r="K26" s="2"/>
      <c r="L26" s="2">
        <f t="shared" si="6"/>
        <v>-52.776169769233093</v>
      </c>
      <c r="M26" s="2"/>
      <c r="N26" s="6">
        <f t="shared" si="7"/>
        <v>-1.1552349164571778E-2</v>
      </c>
      <c r="O26" s="14"/>
      <c r="P26" s="2">
        <f>SUM(OSRRefP22_0x_0)</f>
        <v>62759.21</v>
      </c>
      <c r="Q26" s="2"/>
      <c r="R26" s="6">
        <f t="shared" si="8"/>
        <v>0.42863634147037771</v>
      </c>
      <c r="S26" s="2"/>
      <c r="T26" s="2">
        <f>SUM(OSRRefT22_0x_0)</f>
        <v>49421.328378711543</v>
      </c>
      <c r="U26" s="2"/>
      <c r="V26" s="6">
        <f t="shared" si="9"/>
        <v>0.18528597600086807</v>
      </c>
      <c r="W26" s="2"/>
      <c r="X26" s="2">
        <f t="shared" si="10"/>
        <v>13337.881621288456</v>
      </c>
      <c r="Y26" s="2"/>
      <c r="Z26" s="6">
        <f t="shared" si="11"/>
        <v>0.26988108290172563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665.6</v>
      </c>
      <c r="E27" s="3"/>
      <c r="F27" s="7">
        <f t="shared" si="4"/>
        <v>2.7533110261088838E-2</v>
      </c>
      <c r="G27" s="3"/>
      <c r="H27" s="8">
        <v>929.43271361538496</v>
      </c>
      <c r="I27" s="3"/>
      <c r="J27" s="7">
        <f t="shared" si="5"/>
        <v>1.9944908017497532E-2</v>
      </c>
      <c r="K27" s="3"/>
      <c r="L27" s="8">
        <f t="shared" si="6"/>
        <v>-263.83271361538493</v>
      </c>
      <c r="M27" s="3"/>
      <c r="N27" s="7">
        <f t="shared" si="7"/>
        <v>-0.28386424294138135</v>
      </c>
      <c r="O27" s="12"/>
      <c r="P27" s="8">
        <v>10509.21</v>
      </c>
      <c r="Q27" s="3"/>
      <c r="R27" s="7">
        <f t="shared" si="8"/>
        <v>7.1776386703145373E-2</v>
      </c>
      <c r="S27" s="3"/>
      <c r="T27" s="8">
        <v>8448.6899158269298</v>
      </c>
      <c r="U27" s="3"/>
      <c r="V27" s="7">
        <f t="shared" si="9"/>
        <v>3.16750643565663E-2</v>
      </c>
      <c r="W27" s="3"/>
      <c r="X27" s="8">
        <f t="shared" si="10"/>
        <v>2060.5200841730693</v>
      </c>
      <c r="Y27" s="3"/>
      <c r="Z27" s="7">
        <f t="shared" si="11"/>
        <v>0.24388634269948734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179.21</v>
      </c>
      <c r="E28" s="3"/>
      <c r="F28" s="7">
        <f t="shared" si="4"/>
        <v>7.4131741134160619E-3</v>
      </c>
      <c r="G28" s="3"/>
      <c r="H28" s="8">
        <v>189.45707999999999</v>
      </c>
      <c r="I28" s="3"/>
      <c r="J28" s="7">
        <f t="shared" si="5"/>
        <v>4.0656025751072957E-3</v>
      </c>
      <c r="K28" s="3"/>
      <c r="L28" s="8">
        <f t="shared" si="6"/>
        <v>-10.247079999999983</v>
      </c>
      <c r="M28" s="3"/>
      <c r="N28" s="7">
        <f t="shared" si="7"/>
        <v>-5.4086550895854527E-2</v>
      </c>
      <c r="O28" s="12"/>
      <c r="P28" s="8">
        <v>2354.13</v>
      </c>
      <c r="Q28" s="3"/>
      <c r="R28" s="7">
        <f t="shared" si="8"/>
        <v>1.6078367948635115E-2</v>
      </c>
      <c r="S28" s="3"/>
      <c r="T28" s="8">
        <v>1728.7467300000001</v>
      </c>
      <c r="U28" s="3"/>
      <c r="V28" s="7">
        <f t="shared" si="9"/>
        <v>6.4812609380272184E-3</v>
      </c>
      <c r="W28" s="3"/>
      <c r="X28" s="8">
        <f t="shared" si="10"/>
        <v>625.38327000000004</v>
      </c>
      <c r="Y28" s="3"/>
      <c r="Z28" s="7">
        <f t="shared" si="11"/>
        <v>0.36175528731151962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1287</v>
      </c>
      <c r="E29" s="3"/>
      <c r="F29" s="7">
        <f t="shared" si="4"/>
        <v>5.3237849918902243E-2</v>
      </c>
      <c r="G29" s="3"/>
      <c r="H29" s="8">
        <v>1326</v>
      </c>
      <c r="I29" s="3"/>
      <c r="J29" s="7">
        <f t="shared" si="5"/>
        <v>2.8454935622317597E-2</v>
      </c>
      <c r="K29" s="3"/>
      <c r="L29" s="8">
        <f t="shared" si="6"/>
        <v>-39</v>
      </c>
      <c r="M29" s="3"/>
      <c r="N29" s="7">
        <f t="shared" si="7"/>
        <v>-2.9411764705882353E-2</v>
      </c>
      <c r="O29" s="12"/>
      <c r="P29" s="8">
        <v>20460.02</v>
      </c>
      <c r="Q29" s="3"/>
      <c r="R29" s="7">
        <f t="shared" si="8"/>
        <v>0.13973898204280708</v>
      </c>
      <c r="S29" s="3"/>
      <c r="T29" s="8">
        <v>15550.5</v>
      </c>
      <c r="U29" s="3"/>
      <c r="V29" s="7">
        <f t="shared" si="9"/>
        <v>5.8300528624451696E-2</v>
      </c>
      <c r="W29" s="3"/>
      <c r="X29" s="8">
        <f t="shared" si="10"/>
        <v>4909.5200000000004</v>
      </c>
      <c r="Y29" s="3"/>
      <c r="Z29" s="7">
        <f t="shared" si="11"/>
        <v>0.31571460724735539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31.48</v>
      </c>
      <c r="E30" s="3"/>
      <c r="F30" s="7">
        <f t="shared" si="4"/>
        <v>1.3021969816993338E-3</v>
      </c>
      <c r="G30" s="3"/>
      <c r="H30" s="8">
        <v>25.503837692307702</v>
      </c>
      <c r="I30" s="3"/>
      <c r="J30" s="7">
        <f t="shared" si="5"/>
        <v>5.4729265434136701E-4</v>
      </c>
      <c r="K30" s="3"/>
      <c r="L30" s="8">
        <f t="shared" si="6"/>
        <v>5.9761623076922987</v>
      </c>
      <c r="M30" s="3"/>
      <c r="N30" s="7">
        <f t="shared" si="7"/>
        <v>0.23432404094599416</v>
      </c>
      <c r="O30" s="12"/>
      <c r="P30" s="8">
        <v>413.56</v>
      </c>
      <c r="Q30" s="3"/>
      <c r="R30" s="7">
        <f t="shared" si="8"/>
        <v>2.8245550793021359E-3</v>
      </c>
      <c r="S30" s="3"/>
      <c r="T30" s="8">
        <v>232.715905961538</v>
      </c>
      <c r="U30" s="3"/>
      <c r="V30" s="7">
        <f t="shared" si="9"/>
        <v>8.7247743396520077E-4</v>
      </c>
      <c r="W30" s="3"/>
      <c r="X30" s="8">
        <f t="shared" si="10"/>
        <v>180.844094038462</v>
      </c>
      <c r="Y30" s="3"/>
      <c r="Z30" s="7">
        <f t="shared" si="11"/>
        <v>0.77710242147501052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811.71</v>
      </c>
      <c r="E31" s="3"/>
      <c r="F31" s="7">
        <f t="shared" si="4"/>
        <v>3.3577074714585972E-2</v>
      </c>
      <c r="G31" s="3"/>
      <c r="H31" s="8">
        <v>762.81007692307799</v>
      </c>
      <c r="I31" s="3"/>
      <c r="J31" s="7">
        <f t="shared" si="5"/>
        <v>1.6369314955430859E-2</v>
      </c>
      <c r="K31" s="3"/>
      <c r="L31" s="8">
        <f t="shared" si="6"/>
        <v>48.89992307692205</v>
      </c>
      <c r="M31" s="3"/>
      <c r="N31" s="7">
        <f t="shared" si="7"/>
        <v>6.410497783952733E-2</v>
      </c>
      <c r="O31" s="12"/>
      <c r="P31" s="8">
        <v>13291.83</v>
      </c>
      <c r="Q31" s="3"/>
      <c r="R31" s="7">
        <f t="shared" si="8"/>
        <v>9.0781279475095539E-2</v>
      </c>
      <c r="S31" s="3"/>
      <c r="T31" s="8">
        <v>8492.1816346153901</v>
      </c>
      <c r="U31" s="3"/>
      <c r="V31" s="7">
        <f t="shared" si="9"/>
        <v>3.1838119576408315E-2</v>
      </c>
      <c r="W31" s="3"/>
      <c r="X31" s="8">
        <f t="shared" si="10"/>
        <v>4799.6483653846099</v>
      </c>
      <c r="Y31" s="3"/>
      <c r="Z31" s="7">
        <f t="shared" si="11"/>
        <v>0.565184374509906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4"/>
        <v>0</v>
      </c>
      <c r="G32" s="3"/>
      <c r="H32" s="8">
        <v>0</v>
      </c>
      <c r="I32" s="3"/>
      <c r="J32" s="7">
        <f t="shared" si="5"/>
        <v>0</v>
      </c>
      <c r="K32" s="3"/>
      <c r="L32" s="8">
        <f t="shared" si="6"/>
        <v>0</v>
      </c>
      <c r="M32" s="3"/>
      <c r="N32" s="7">
        <f t="shared" si="7"/>
        <v>0</v>
      </c>
      <c r="O32" s="12"/>
      <c r="P32" s="8"/>
      <c r="Q32" s="3"/>
      <c r="R32" s="7">
        <f t="shared" si="8"/>
        <v>0</v>
      </c>
      <c r="S32" s="3"/>
      <c r="T32" s="8">
        <v>0</v>
      </c>
      <c r="U32" s="3"/>
      <c r="V32" s="7">
        <f t="shared" si="9"/>
        <v>0</v>
      </c>
      <c r="W32" s="3"/>
      <c r="X32" s="8">
        <f t="shared" si="10"/>
        <v>0</v>
      </c>
      <c r="Y32" s="3"/>
      <c r="Z32" s="7">
        <f t="shared" si="11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8">
        <v>640.52</v>
      </c>
      <c r="E33" s="3"/>
      <c r="F33" s="7">
        <f t="shared" si="4"/>
        <v>2.6495654724207663E-2</v>
      </c>
      <c r="G33" s="3"/>
      <c r="H33" s="8">
        <v>620.89192307692304</v>
      </c>
      <c r="I33" s="3"/>
      <c r="J33" s="7">
        <f t="shared" si="5"/>
        <v>1.3323861010234399E-2</v>
      </c>
      <c r="K33" s="3"/>
      <c r="L33" s="8">
        <f t="shared" si="6"/>
        <v>19.628076923076947</v>
      </c>
      <c r="M33" s="3"/>
      <c r="N33" s="7">
        <f t="shared" si="7"/>
        <v>3.1612710994543249E-2</v>
      </c>
      <c r="O33" s="12"/>
      <c r="P33" s="8">
        <v>6884.67</v>
      </c>
      <c r="Q33" s="3"/>
      <c r="R33" s="7">
        <f t="shared" si="8"/>
        <v>4.7021301909805198E-2</v>
      </c>
      <c r="S33" s="3"/>
      <c r="T33" s="8">
        <v>7546.2850961538397</v>
      </c>
      <c r="U33" s="3"/>
      <c r="V33" s="7">
        <f t="shared" si="9"/>
        <v>2.8291849796250289E-2</v>
      </c>
      <c r="W33" s="3"/>
      <c r="X33" s="8">
        <f t="shared" si="10"/>
        <v>-661.61509615383966</v>
      </c>
      <c r="Y33" s="3"/>
      <c r="Z33" s="7">
        <f t="shared" si="11"/>
        <v>-8.7674277836527675E-2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8">
        <v>411.06</v>
      </c>
      <c r="E34" s="3"/>
      <c r="F34" s="7">
        <f t="shared" si="4"/>
        <v>1.7003846610461504E-2</v>
      </c>
      <c r="G34" s="3"/>
      <c r="H34" s="8">
        <v>364.34053846153898</v>
      </c>
      <c r="I34" s="3"/>
      <c r="J34" s="7">
        <f t="shared" si="5"/>
        <v>7.818466490590965E-3</v>
      </c>
      <c r="K34" s="3"/>
      <c r="L34" s="8">
        <f t="shared" si="6"/>
        <v>46.719461538461019</v>
      </c>
      <c r="M34" s="3"/>
      <c r="N34" s="7">
        <f t="shared" si="7"/>
        <v>0.12823020390686743</v>
      </c>
      <c r="O34" s="12"/>
      <c r="P34" s="8">
        <v>5375.72</v>
      </c>
      <c r="Q34" s="3"/>
      <c r="R34" s="7">
        <f t="shared" si="8"/>
        <v>3.671539131179534E-2</v>
      </c>
      <c r="S34" s="3"/>
      <c r="T34" s="8">
        <v>3747.2090961538502</v>
      </c>
      <c r="U34" s="3"/>
      <c r="V34" s="7">
        <f t="shared" si="9"/>
        <v>1.4048697544910022E-2</v>
      </c>
      <c r="W34" s="3"/>
      <c r="X34" s="8">
        <f t="shared" si="10"/>
        <v>1628.5109038461501</v>
      </c>
      <c r="Y34" s="3"/>
      <c r="Z34" s="7">
        <f t="shared" si="11"/>
        <v>0.43459301631116876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8">
        <v>489.08</v>
      </c>
      <c r="E35" s="3"/>
      <c r="F35" s="7">
        <f t="shared" si="4"/>
        <v>2.0231210286197909E-2</v>
      </c>
      <c r="G35" s="3"/>
      <c r="H35" s="8">
        <v>350</v>
      </c>
      <c r="I35" s="3"/>
      <c r="J35" s="7">
        <f t="shared" si="5"/>
        <v>7.5107296137339056E-3</v>
      </c>
      <c r="K35" s="3"/>
      <c r="L35" s="8">
        <f t="shared" si="6"/>
        <v>139.07999999999998</v>
      </c>
      <c r="M35" s="3"/>
      <c r="N35" s="7">
        <f t="shared" si="7"/>
        <v>0.39737142857142854</v>
      </c>
      <c r="O35" s="12"/>
      <c r="P35" s="8">
        <v>3470.07</v>
      </c>
      <c r="Q35" s="3"/>
      <c r="R35" s="7">
        <f t="shared" si="8"/>
        <v>2.3700076999791962E-2</v>
      </c>
      <c r="S35" s="3"/>
      <c r="T35" s="8">
        <v>3675</v>
      </c>
      <c r="U35" s="3"/>
      <c r="V35" s="7">
        <f t="shared" si="9"/>
        <v>1.3777977730289057E-2</v>
      </c>
      <c r="W35" s="3"/>
      <c r="X35" s="8">
        <f t="shared" si="10"/>
        <v>-204.92999999999984</v>
      </c>
      <c r="Y35" s="3"/>
      <c r="Z35" s="7">
        <f t="shared" si="11"/>
        <v>-5.5763265306122405E-2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12026.04</v>
      </c>
      <c r="E36" s="2"/>
      <c r="F36" s="6">
        <f t="shared" si="4"/>
        <v>0.49746737578765748</v>
      </c>
      <c r="G36" s="2"/>
      <c r="H36" s="2">
        <f>SUM(OSRRefH22_1x_0)</f>
        <v>11394.22015384616</v>
      </c>
      <c r="I36" s="2"/>
      <c r="J36" s="6">
        <f t="shared" si="5"/>
        <v>0.244511162099703</v>
      </c>
      <c r="K36" s="2"/>
      <c r="L36" s="2">
        <f t="shared" si="6"/>
        <v>631.81984615384135</v>
      </c>
      <c r="M36" s="2"/>
      <c r="N36" s="6">
        <f t="shared" si="7"/>
        <v>5.5450907356794255E-2</v>
      </c>
      <c r="O36" s="14"/>
      <c r="P36" s="2">
        <f>SUM(OSRRefP22_1x_0)</f>
        <v>113199.14000000001</v>
      </c>
      <c r="Q36" s="2"/>
      <c r="R36" s="6">
        <f t="shared" si="8"/>
        <v>0.77313377952324602</v>
      </c>
      <c r="S36" s="2"/>
      <c r="T36" s="2">
        <f>SUM(OSRRefT22_1x_0)</f>
        <v>100331.01188461551</v>
      </c>
      <c r="U36" s="2"/>
      <c r="V36" s="6">
        <f t="shared" si="9"/>
        <v>0.37615195847716981</v>
      </c>
      <c r="W36" s="2"/>
      <c r="X36" s="2">
        <f t="shared" si="10"/>
        <v>12868.128115384505</v>
      </c>
      <c r="Y36" s="2"/>
      <c r="Z36" s="6">
        <f t="shared" si="11"/>
        <v>0.12825673611448615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8"/>
      <c r="E37" s="3"/>
      <c r="F37" s="7">
        <f t="shared" si="4"/>
        <v>0</v>
      </c>
      <c r="G37" s="3"/>
      <c r="H37" s="8">
        <v>0</v>
      </c>
      <c r="I37" s="3"/>
      <c r="J37" s="7">
        <f t="shared" si="5"/>
        <v>0</v>
      </c>
      <c r="K37" s="3"/>
      <c r="L37" s="8">
        <f t="shared" si="6"/>
        <v>0</v>
      </c>
      <c r="M37" s="3"/>
      <c r="N37" s="7">
        <f t="shared" si="7"/>
        <v>0</v>
      </c>
      <c r="O37" s="12"/>
      <c r="P37" s="8"/>
      <c r="Q37" s="3"/>
      <c r="R37" s="7">
        <f t="shared" si="8"/>
        <v>0</v>
      </c>
      <c r="S37" s="3"/>
      <c r="T37" s="8">
        <v>0</v>
      </c>
      <c r="U37" s="3"/>
      <c r="V37" s="7">
        <f t="shared" si="9"/>
        <v>0</v>
      </c>
      <c r="W37" s="3"/>
      <c r="X37" s="8">
        <f t="shared" si="10"/>
        <v>0</v>
      </c>
      <c r="Y37" s="3"/>
      <c r="Z37" s="7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8">
        <v>8912.0400000000009</v>
      </c>
      <c r="E38" s="3"/>
      <c r="F38" s="7">
        <f t="shared" si="4"/>
        <v>0.36865411654332059</v>
      </c>
      <c r="G38" s="3"/>
      <c r="H38" s="8">
        <v>7982.8961538461599</v>
      </c>
      <c r="I38" s="3"/>
      <c r="J38" s="7">
        <f t="shared" si="5"/>
        <v>0.17130678441729957</v>
      </c>
      <c r="K38" s="3"/>
      <c r="L38" s="8">
        <f t="shared" si="6"/>
        <v>929.14384615384097</v>
      </c>
      <c r="M38" s="3"/>
      <c r="N38" s="7">
        <f t="shared" si="7"/>
        <v>0.11639182425117474</v>
      </c>
      <c r="O38" s="12"/>
      <c r="P38" s="8">
        <v>93081.85</v>
      </c>
      <c r="Q38" s="3"/>
      <c r="R38" s="7">
        <f t="shared" si="8"/>
        <v>0.63573559388804424</v>
      </c>
      <c r="S38" s="3"/>
      <c r="T38" s="8">
        <v>87814.927884615507</v>
      </c>
      <c r="U38" s="3"/>
      <c r="V38" s="7">
        <f t="shared" si="9"/>
        <v>0.32922778796766583</v>
      </c>
      <c r="W38" s="3"/>
      <c r="X38" s="8">
        <f t="shared" si="10"/>
        <v>5266.9221153844992</v>
      </c>
      <c r="Y38" s="3"/>
      <c r="Z38" s="7">
        <f t="shared" si="11"/>
        <v>5.9977525943026175E-2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8"/>
      <c r="E39" s="3"/>
      <c r="F39" s="7">
        <f t="shared" si="4"/>
        <v>0</v>
      </c>
      <c r="G39" s="3"/>
      <c r="H39" s="8">
        <v>0</v>
      </c>
      <c r="I39" s="3"/>
      <c r="J39" s="7">
        <f t="shared" si="5"/>
        <v>0</v>
      </c>
      <c r="K39" s="3"/>
      <c r="L39" s="8">
        <f t="shared" si="6"/>
        <v>0</v>
      </c>
      <c r="M39" s="3"/>
      <c r="N39" s="7">
        <f t="shared" si="7"/>
        <v>0</v>
      </c>
      <c r="O39" s="12"/>
      <c r="P39" s="8"/>
      <c r="Q39" s="3"/>
      <c r="R39" s="7">
        <f t="shared" si="8"/>
        <v>0</v>
      </c>
      <c r="S39" s="3"/>
      <c r="T39" s="8">
        <v>0</v>
      </c>
      <c r="U39" s="3"/>
      <c r="V39" s="7">
        <f t="shared" si="9"/>
        <v>0</v>
      </c>
      <c r="W39" s="3"/>
      <c r="X39" s="8">
        <f t="shared" si="10"/>
        <v>0</v>
      </c>
      <c r="Y39" s="3"/>
      <c r="Z39" s="7">
        <f t="shared" si="11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8"/>
      <c r="E40" s="3"/>
      <c r="F40" s="7">
        <f t="shared" si="4"/>
        <v>0</v>
      </c>
      <c r="G40" s="3"/>
      <c r="H40" s="8">
        <v>2009.7</v>
      </c>
      <c r="I40" s="3"/>
      <c r="J40" s="7">
        <f t="shared" si="5"/>
        <v>4.3126609442060086E-2</v>
      </c>
      <c r="K40" s="3"/>
      <c r="L40" s="8">
        <f t="shared" si="6"/>
        <v>-2009.7</v>
      </c>
      <c r="M40" s="3"/>
      <c r="N40" s="7">
        <f t="shared" si="7"/>
        <v>-1</v>
      </c>
      <c r="O40" s="12"/>
      <c r="P40" s="8"/>
      <c r="Q40" s="3"/>
      <c r="R40" s="7">
        <f t="shared" si="8"/>
        <v>0</v>
      </c>
      <c r="S40" s="3"/>
      <c r="T40" s="8">
        <v>4365.8999999999996</v>
      </c>
      <c r="U40" s="3"/>
      <c r="V40" s="7">
        <f t="shared" si="9"/>
        <v>1.6368237543583398E-2</v>
      </c>
      <c r="W40" s="3"/>
      <c r="X40" s="8">
        <f t="shared" si="10"/>
        <v>-4365.8999999999996</v>
      </c>
      <c r="Y40" s="3"/>
      <c r="Z40" s="7">
        <f t="shared" si="11"/>
        <v>-1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8"/>
      <c r="E41" s="3"/>
      <c r="F41" s="7">
        <f t="shared" si="4"/>
        <v>0</v>
      </c>
      <c r="G41" s="3"/>
      <c r="H41" s="8">
        <v>0</v>
      </c>
      <c r="I41" s="3"/>
      <c r="J41" s="7">
        <f t="shared" si="5"/>
        <v>0</v>
      </c>
      <c r="K41" s="3"/>
      <c r="L41" s="8">
        <f t="shared" si="6"/>
        <v>0</v>
      </c>
      <c r="M41" s="3"/>
      <c r="N41" s="7">
        <f t="shared" si="7"/>
        <v>0</v>
      </c>
      <c r="O41" s="12"/>
      <c r="P41" s="8"/>
      <c r="Q41" s="3"/>
      <c r="R41" s="7">
        <f t="shared" si="8"/>
        <v>0</v>
      </c>
      <c r="S41" s="3"/>
      <c r="T41" s="8">
        <v>0</v>
      </c>
      <c r="U41" s="3"/>
      <c r="V41" s="7">
        <f t="shared" si="9"/>
        <v>0</v>
      </c>
      <c r="W41" s="3"/>
      <c r="X41" s="8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8">
        <v>3114</v>
      </c>
      <c r="E43" s="3"/>
      <c r="F43" s="7">
        <f t="shared" si="4"/>
        <v>0.1288132592443369</v>
      </c>
      <c r="G43" s="3"/>
      <c r="H43" s="8">
        <v>1401.624</v>
      </c>
      <c r="I43" s="3"/>
      <c r="J43" s="7">
        <f t="shared" si="5"/>
        <v>3.0077768240343347E-2</v>
      </c>
      <c r="K43" s="3"/>
      <c r="L43" s="8">
        <f t="shared" si="6"/>
        <v>1712.376</v>
      </c>
      <c r="M43" s="3"/>
      <c r="N43" s="7">
        <f t="shared" si="7"/>
        <v>1.221708532388144</v>
      </c>
      <c r="O43" s="12"/>
      <c r="P43" s="8">
        <v>20117.29</v>
      </c>
      <c r="Q43" s="3"/>
      <c r="R43" s="7">
        <f t="shared" si="8"/>
        <v>0.13739818563520184</v>
      </c>
      <c r="S43" s="3"/>
      <c r="T43" s="8">
        <v>7717.5839999999998</v>
      </c>
      <c r="U43" s="3"/>
      <c r="V43" s="7">
        <f t="shared" si="9"/>
        <v>2.8934068158812283E-2</v>
      </c>
      <c r="W43" s="3"/>
      <c r="X43" s="8">
        <f t="shared" si="10"/>
        <v>12399.706000000002</v>
      </c>
      <c r="Y43" s="3"/>
      <c r="Z43" s="7">
        <f t="shared" si="11"/>
        <v>1.6066823503313994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8"/>
      <c r="E44" s="3"/>
      <c r="F44" s="7">
        <f t="shared" si="4"/>
        <v>0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0</v>
      </c>
      <c r="M44" s="3"/>
      <c r="N44" s="7">
        <f t="shared" si="7"/>
        <v>0</v>
      </c>
      <c r="O44" s="12"/>
      <c r="P44" s="8"/>
      <c r="Q44" s="3"/>
      <c r="R44" s="7">
        <f t="shared" si="8"/>
        <v>0</v>
      </c>
      <c r="S44" s="3"/>
      <c r="T44" s="8">
        <v>432.6</v>
      </c>
      <c r="U44" s="3"/>
      <c r="V44" s="7">
        <f t="shared" si="9"/>
        <v>1.6218648071083118E-3</v>
      </c>
      <c r="W44" s="3"/>
      <c r="X44" s="8">
        <f t="shared" si="10"/>
        <v>-432.6</v>
      </c>
      <c r="Y44" s="3"/>
      <c r="Z44" s="7">
        <f t="shared" si="11"/>
        <v>-1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8"/>
      <c r="E45" s="3"/>
      <c r="F45" s="7">
        <f t="shared" si="4"/>
        <v>0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0</v>
      </c>
      <c r="M45" s="3"/>
      <c r="N45" s="7">
        <f t="shared" si="7"/>
        <v>0</v>
      </c>
      <c r="O45" s="12"/>
      <c r="P45" s="8"/>
      <c r="Q45" s="3"/>
      <c r="R45" s="7">
        <f t="shared" si="8"/>
        <v>0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0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8"/>
      <c r="E46" s="3"/>
      <c r="F46" s="7">
        <f t="shared" si="4"/>
        <v>0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0</v>
      </c>
      <c r="U46" s="3"/>
      <c r="V46" s="7">
        <f t="shared" si="9"/>
        <v>0</v>
      </c>
      <c r="W46" s="3"/>
      <c r="X46" s="8">
        <f t="shared" si="10"/>
        <v>0</v>
      </c>
      <c r="Y46" s="3"/>
      <c r="Z46" s="7">
        <f t="shared" si="11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10</v>
      </c>
      <c r="E47" s="2"/>
      <c r="F47" s="6">
        <f t="shared" si="4"/>
        <v>4.1365850752837796E-4</v>
      </c>
      <c r="G47" s="2"/>
      <c r="H47" s="2">
        <f>SUM(OSRRefH22_2x_0)</f>
        <v>50</v>
      </c>
      <c r="I47" s="2"/>
      <c r="J47" s="6">
        <f t="shared" si="5"/>
        <v>1.0729613733905579E-3</v>
      </c>
      <c r="K47" s="2"/>
      <c r="L47" s="2">
        <f t="shared" si="6"/>
        <v>-40</v>
      </c>
      <c r="M47" s="2"/>
      <c r="N47" s="6">
        <f t="shared" si="7"/>
        <v>-0.8</v>
      </c>
      <c r="O47" s="14"/>
      <c r="P47" s="2">
        <f>SUM(OSRRefP22_2x_0)</f>
        <v>151.85</v>
      </c>
      <c r="Q47" s="2"/>
      <c r="R47" s="6">
        <f t="shared" si="8"/>
        <v>1.037113571892904E-3</v>
      </c>
      <c r="S47" s="2"/>
      <c r="T47" s="2">
        <f>SUM(OSRRefT22_2x_0)</f>
        <v>400</v>
      </c>
      <c r="U47" s="2"/>
      <c r="V47" s="6">
        <f t="shared" si="9"/>
        <v>1.499643834589285E-3</v>
      </c>
      <c r="W47" s="2"/>
      <c r="X47" s="2">
        <f t="shared" si="10"/>
        <v>-248.15</v>
      </c>
      <c r="Y47" s="2"/>
      <c r="Z47" s="6">
        <f t="shared" si="11"/>
        <v>-0.62037500000000001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8">
        <v>10</v>
      </c>
      <c r="E48" s="3"/>
      <c r="F48" s="7">
        <f t="shared" si="4"/>
        <v>4.1365850752837796E-4</v>
      </c>
      <c r="G48" s="3"/>
      <c r="H48" s="8">
        <v>50</v>
      </c>
      <c r="I48" s="3"/>
      <c r="J48" s="7">
        <f t="shared" si="5"/>
        <v>1.0729613733905579E-3</v>
      </c>
      <c r="K48" s="3"/>
      <c r="L48" s="8">
        <f t="shared" si="6"/>
        <v>-40</v>
      </c>
      <c r="M48" s="3"/>
      <c r="N48" s="7">
        <f t="shared" si="7"/>
        <v>-0.8</v>
      </c>
      <c r="O48" s="12"/>
      <c r="P48" s="8">
        <v>151.85</v>
      </c>
      <c r="Q48" s="3"/>
      <c r="R48" s="7">
        <f t="shared" si="8"/>
        <v>1.037113571892904E-3</v>
      </c>
      <c r="S48" s="3"/>
      <c r="T48" s="8">
        <v>400</v>
      </c>
      <c r="U48" s="3"/>
      <c r="V48" s="7">
        <f t="shared" si="9"/>
        <v>1.499643834589285E-3</v>
      </c>
      <c r="W48" s="3"/>
      <c r="X48" s="8">
        <f t="shared" si="10"/>
        <v>-248.15</v>
      </c>
      <c r="Y48" s="3"/>
      <c r="Z48" s="7">
        <f t="shared" si="11"/>
        <v>-0.62037500000000001</v>
      </c>
    </row>
    <row r="49" spans="1:26" s="69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7.0272307258920849E-3</v>
      </c>
      <c r="G49" s="2"/>
      <c r="H49" s="2">
        <f>SUM(OSRRefH22_3x_0)</f>
        <v>170</v>
      </c>
      <c r="I49" s="2"/>
      <c r="J49" s="6">
        <f t="shared" si="5"/>
        <v>3.6480686695278971E-3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1359.04</v>
      </c>
      <c r="Q49" s="2"/>
      <c r="R49" s="6">
        <f t="shared" si="8"/>
        <v>9.2820469459686025E-3</v>
      </c>
      <c r="S49" s="2"/>
      <c r="T49" s="2">
        <f>SUM(OSRRefT22_3x_0)</f>
        <v>1360</v>
      </c>
      <c r="U49" s="2"/>
      <c r="V49" s="6">
        <f t="shared" si="9"/>
        <v>5.098789037603569E-3</v>
      </c>
      <c r="W49" s="2"/>
      <c r="X49" s="2">
        <f t="shared" si="10"/>
        <v>-0.96000000000003638</v>
      </c>
      <c r="Y49" s="2"/>
      <c r="Z49" s="6">
        <f t="shared" si="11"/>
        <v>-7.0588235294120319E-4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169.88</v>
      </c>
      <c r="E50" s="3"/>
      <c r="F50" s="7">
        <f t="shared" si="4"/>
        <v>7.0272307258920849E-3</v>
      </c>
      <c r="G50" s="3"/>
      <c r="H50" s="8">
        <v>170</v>
      </c>
      <c r="I50" s="3"/>
      <c r="J50" s="7">
        <f t="shared" si="5"/>
        <v>3.6480686695278971E-3</v>
      </c>
      <c r="K50" s="3"/>
      <c r="L50" s="8">
        <f t="shared" si="6"/>
        <v>-0.12000000000000455</v>
      </c>
      <c r="M50" s="3"/>
      <c r="N50" s="7">
        <f t="shared" si="7"/>
        <v>-7.0588235294120319E-4</v>
      </c>
      <c r="O50" s="12"/>
      <c r="P50" s="8">
        <v>1359.04</v>
      </c>
      <c r="Q50" s="3"/>
      <c r="R50" s="7">
        <f t="shared" si="8"/>
        <v>9.2820469459686025E-3</v>
      </c>
      <c r="S50" s="3"/>
      <c r="T50" s="8">
        <v>1360</v>
      </c>
      <c r="U50" s="3"/>
      <c r="V50" s="7">
        <f t="shared" si="9"/>
        <v>5.098789037603569E-3</v>
      </c>
      <c r="W50" s="3"/>
      <c r="X50" s="8">
        <f t="shared" si="10"/>
        <v>-0.96000000000003638</v>
      </c>
      <c r="Y50" s="3"/>
      <c r="Z50" s="7">
        <f t="shared" si="11"/>
        <v>-7.0588235294120319E-4</v>
      </c>
    </row>
    <row r="51" spans="1:26" s="69" customFormat="1" ht="15" customHeight="1" outlineLevel="1" collapsed="1" x14ac:dyDescent="0.3">
      <c r="A51" s="25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4.9872324301651366E-2</v>
      </c>
      <c r="G51" s="2"/>
      <c r="H51" s="2">
        <f>SUM(OSRRefH22_4x_0)</f>
        <v>1300</v>
      </c>
      <c r="I51" s="2"/>
      <c r="J51" s="6">
        <f t="shared" si="5"/>
        <v>2.7896995708154508E-2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9736.3799999999992</v>
      </c>
      <c r="Q51" s="2"/>
      <c r="R51" s="6">
        <f t="shared" si="8"/>
        <v>6.6498069404719334E-2</v>
      </c>
      <c r="S51" s="2"/>
      <c r="T51" s="2">
        <f>SUM(OSRRefT22_4x_0)</f>
        <v>10200</v>
      </c>
      <c r="U51" s="2"/>
      <c r="V51" s="6">
        <f t="shared" si="9"/>
        <v>3.8240917782026769E-2</v>
      </c>
      <c r="W51" s="2"/>
      <c r="X51" s="2">
        <f t="shared" si="10"/>
        <v>-463.6200000000008</v>
      </c>
      <c r="Y51" s="2"/>
      <c r="Z51" s="6">
        <f t="shared" si="11"/>
        <v>-4.5452941176470668E-2</v>
      </c>
    </row>
    <row r="52" spans="1:26" s="70" customFormat="1" ht="15" hidden="1" customHeight="1" outlineLevel="2" x14ac:dyDescent="0.3">
      <c r="A52" s="26"/>
      <c r="B52" s="12" t="str">
        <f>CONCATENATE("          ","6351"," - ","EQUIPMENT RENTAL")</f>
        <v xml:space="preserve">          6351 - EQUIPMENT RENTAL</v>
      </c>
      <c r="C52" s="12"/>
      <c r="D52" s="8">
        <v>1205.6400000000001</v>
      </c>
      <c r="E52" s="3"/>
      <c r="F52" s="7">
        <f t="shared" si="4"/>
        <v>4.9872324301651366E-2</v>
      </c>
      <c r="G52" s="3"/>
      <c r="H52" s="8">
        <v>1300</v>
      </c>
      <c r="I52" s="3"/>
      <c r="J52" s="7">
        <f t="shared" si="5"/>
        <v>2.7896995708154508E-2</v>
      </c>
      <c r="K52" s="3"/>
      <c r="L52" s="8">
        <f t="shared" si="6"/>
        <v>-94.3599999999999</v>
      </c>
      <c r="M52" s="3"/>
      <c r="N52" s="7">
        <f t="shared" si="7"/>
        <v>-7.2584615384615303E-2</v>
      </c>
      <c r="O52" s="12"/>
      <c r="P52" s="8">
        <v>9736.3799999999992</v>
      </c>
      <c r="Q52" s="3"/>
      <c r="R52" s="7">
        <f t="shared" si="8"/>
        <v>6.6498069404719334E-2</v>
      </c>
      <c r="S52" s="3"/>
      <c r="T52" s="8">
        <v>10200</v>
      </c>
      <c r="U52" s="3"/>
      <c r="V52" s="7">
        <f t="shared" si="9"/>
        <v>3.8240917782026769E-2</v>
      </c>
      <c r="W52" s="3"/>
      <c r="X52" s="8">
        <f t="shared" si="10"/>
        <v>-463.6200000000008</v>
      </c>
      <c r="Y52" s="3"/>
      <c r="Z52" s="7">
        <f t="shared" si="11"/>
        <v>-4.5452941176470668E-2</v>
      </c>
    </row>
    <row r="53" spans="1:26" s="69" customFormat="1" ht="15" customHeight="1" outlineLevel="1" collapsed="1" x14ac:dyDescent="0.3">
      <c r="A53" s="25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-7076.82</v>
      </c>
      <c r="E53" s="2"/>
      <c r="F53" s="6">
        <f t="shared" si="4"/>
        <v>-0.29273867992469754</v>
      </c>
      <c r="G53" s="2"/>
      <c r="H53" s="2">
        <f>SUM(OSRRefH22_5x_0)</f>
        <v>0</v>
      </c>
      <c r="I53" s="2"/>
      <c r="J53" s="6">
        <f t="shared" si="5"/>
        <v>0</v>
      </c>
      <c r="K53" s="2"/>
      <c r="L53" s="2">
        <f t="shared" si="6"/>
        <v>-7076.82</v>
      </c>
      <c r="M53" s="2"/>
      <c r="N53" s="6">
        <f t="shared" si="7"/>
        <v>0</v>
      </c>
      <c r="O53" s="14"/>
      <c r="P53" s="2">
        <f>SUM(OSRRefP22_5x_0)</f>
        <v>-64363.05</v>
      </c>
      <c r="Q53" s="2"/>
      <c r="R53" s="6">
        <f t="shared" si="8"/>
        <v>-0.43959033706566725</v>
      </c>
      <c r="S53" s="2"/>
      <c r="T53" s="2">
        <f>SUM(OSRRefT22_5x_0)</f>
        <v>-26700</v>
      </c>
      <c r="U53" s="2"/>
      <c r="V53" s="6">
        <f t="shared" si="9"/>
        <v>-0.10010122595883478</v>
      </c>
      <c r="W53" s="2"/>
      <c r="X53" s="2">
        <f t="shared" si="10"/>
        <v>-37663.050000000003</v>
      </c>
      <c r="Y53" s="2"/>
      <c r="Z53" s="6">
        <f t="shared" si="11"/>
        <v>1.4106011235955058</v>
      </c>
    </row>
    <row r="54" spans="1:26" s="70" customFormat="1" ht="15" hidden="1" customHeight="1" outlineLevel="2" x14ac:dyDescent="0.3">
      <c r="A54" s="26"/>
      <c r="B54" s="12" t="str">
        <f>CONCATENATE("          ","6305"," - ","FREIGHT OUT")</f>
        <v xml:space="preserve">          6305 - FREIGHT OUT</v>
      </c>
      <c r="C54" s="12"/>
      <c r="D54" s="8">
        <v>7594.99</v>
      </c>
      <c r="E54" s="3"/>
      <c r="F54" s="7">
        <f t="shared" si="4"/>
        <v>0.31417322280929555</v>
      </c>
      <c r="G54" s="3"/>
      <c r="H54" s="8">
        <v>22000</v>
      </c>
      <c r="I54" s="3"/>
      <c r="J54" s="7">
        <f t="shared" si="5"/>
        <v>0.47210300429184548</v>
      </c>
      <c r="K54" s="3"/>
      <c r="L54" s="8">
        <f t="shared" si="6"/>
        <v>-14405.01</v>
      </c>
      <c r="M54" s="3"/>
      <c r="N54" s="7">
        <f t="shared" si="7"/>
        <v>-0.65477318181818178</v>
      </c>
      <c r="O54" s="12"/>
      <c r="P54" s="8">
        <v>95215.99</v>
      </c>
      <c r="Q54" s="3"/>
      <c r="R54" s="7">
        <f t="shared" si="8"/>
        <v>0.6503114619046364</v>
      </c>
      <c r="S54" s="3"/>
      <c r="T54" s="8">
        <v>128300</v>
      </c>
      <c r="U54" s="3"/>
      <c r="V54" s="7">
        <f t="shared" si="9"/>
        <v>0.4810107599445132</v>
      </c>
      <c r="W54" s="3"/>
      <c r="X54" s="8">
        <f t="shared" si="10"/>
        <v>-33084.009999999995</v>
      </c>
      <c r="Y54" s="3"/>
      <c r="Z54" s="7">
        <f t="shared" si="11"/>
        <v>-0.2578644583008573</v>
      </c>
    </row>
    <row r="55" spans="1:26" s="70" customFormat="1" ht="15" hidden="1" customHeight="1" outlineLevel="2" x14ac:dyDescent="0.3">
      <c r="A55" s="26"/>
      <c r="B55" s="12" t="str">
        <f>CONCATENATE("          ","6307"," - ","POSTAGE")</f>
        <v xml:space="preserve">          6307 - POSTAGE</v>
      </c>
      <c r="C55" s="12"/>
      <c r="D55" s="8">
        <v>-14671.81</v>
      </c>
      <c r="E55" s="3"/>
      <c r="F55" s="7">
        <f t="shared" si="4"/>
        <v>-0.60691190273399309</v>
      </c>
      <c r="G55" s="3"/>
      <c r="H55" s="8">
        <v>-22000</v>
      </c>
      <c r="I55" s="3"/>
      <c r="J55" s="7">
        <f t="shared" si="5"/>
        <v>-0.47210300429184548</v>
      </c>
      <c r="K55" s="3"/>
      <c r="L55" s="8">
        <f t="shared" si="6"/>
        <v>7328.1900000000005</v>
      </c>
      <c r="M55" s="3"/>
      <c r="N55" s="7">
        <f t="shared" si="7"/>
        <v>-0.33309954545454545</v>
      </c>
      <c r="O55" s="12"/>
      <c r="P55" s="8">
        <v>-159579.04</v>
      </c>
      <c r="Q55" s="3"/>
      <c r="R55" s="7">
        <f t="shared" si="8"/>
        <v>-1.0899017989703037</v>
      </c>
      <c r="S55" s="3"/>
      <c r="T55" s="8">
        <v>-155000</v>
      </c>
      <c r="U55" s="3"/>
      <c r="V55" s="7">
        <f t="shared" si="9"/>
        <v>-0.58111198590334801</v>
      </c>
      <c r="W55" s="3"/>
      <c r="X55" s="8">
        <f t="shared" si="10"/>
        <v>-4579.0400000000081</v>
      </c>
      <c r="Y55" s="3"/>
      <c r="Z55" s="7">
        <f t="shared" si="11"/>
        <v>2.954219354838715E-2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6.236341142544686E-4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8"/>
      <c r="E57" s="3"/>
      <c r="F57" s="7">
        <f t="shared" si="4"/>
        <v>0</v>
      </c>
      <c r="G57" s="3"/>
      <c r="H57" s="8"/>
      <c r="I57" s="3"/>
      <c r="J57" s="7">
        <f t="shared" si="5"/>
        <v>0</v>
      </c>
      <c r="K57" s="3"/>
      <c r="L57" s="8">
        <f t="shared" si="6"/>
        <v>0</v>
      </c>
      <c r="M57" s="3"/>
      <c r="N57" s="7">
        <f t="shared" si="7"/>
        <v>0</v>
      </c>
      <c r="O57" s="12"/>
      <c r="P57" s="8">
        <v>91.31</v>
      </c>
      <c r="Q57" s="3"/>
      <c r="R57" s="7">
        <f t="shared" si="8"/>
        <v>6.236341142544686E-4</v>
      </c>
      <c r="S57" s="3"/>
      <c r="T57" s="8"/>
      <c r="U57" s="3"/>
      <c r="V57" s="7">
        <f t="shared" si="9"/>
        <v>0</v>
      </c>
      <c r="W57" s="3"/>
      <c r="X57" s="8">
        <f t="shared" si="10"/>
        <v>91.31</v>
      </c>
      <c r="Y57" s="3"/>
      <c r="Z57" s="7">
        <f t="shared" si="11"/>
        <v>0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2632.59</v>
      </c>
      <c r="E58" s="2"/>
      <c r="F58" s="6">
        <f t="shared" si="4"/>
        <v>0.10889932503341326</v>
      </c>
      <c r="G58" s="2"/>
      <c r="H58" s="2">
        <f>SUM(OSRRefH22_7x_0)</f>
        <v>10000</v>
      </c>
      <c r="I58" s="2"/>
      <c r="J58" s="6">
        <f t="shared" si="5"/>
        <v>0.21459227467811159</v>
      </c>
      <c r="K58" s="2"/>
      <c r="L58" s="2">
        <f t="shared" si="6"/>
        <v>-7367.41</v>
      </c>
      <c r="M58" s="2"/>
      <c r="N58" s="6">
        <f t="shared" si="7"/>
        <v>-0.73674099999999998</v>
      </c>
      <c r="O58" s="14"/>
      <c r="P58" s="2">
        <f>SUM(OSRRefP22_7x_0)</f>
        <v>23371.42</v>
      </c>
      <c r="Q58" s="2"/>
      <c r="R58" s="6">
        <f t="shared" si="8"/>
        <v>0.15962342361810505</v>
      </c>
      <c r="S58" s="2"/>
      <c r="T58" s="2">
        <f>SUM(OSRRefT22_7x_0)</f>
        <v>43700</v>
      </c>
      <c r="U58" s="2"/>
      <c r="V58" s="6">
        <f t="shared" si="9"/>
        <v>0.16383608892887938</v>
      </c>
      <c r="W58" s="2"/>
      <c r="X58" s="2">
        <f t="shared" si="10"/>
        <v>-20328.580000000002</v>
      </c>
      <c r="Y58" s="2"/>
      <c r="Z58" s="6">
        <f t="shared" si="11"/>
        <v>-0.46518489702517168</v>
      </c>
    </row>
    <row r="59" spans="1:26" s="70" customFormat="1" ht="15" hidden="1" customHeight="1" outlineLevel="2" x14ac:dyDescent="0.3">
      <c r="A59" s="26"/>
      <c r="B59" s="12" t="str">
        <f>CONCATENATE("          ","6371"," - ","COMPUTER SOFTWARE MAINTENANCE")</f>
        <v xml:space="preserve">          6371 - COMPUTER SOFTWARE MAINTENANCE</v>
      </c>
      <c r="C59" s="12"/>
      <c r="D59" s="8"/>
      <c r="E59" s="3"/>
      <c r="F59" s="7">
        <f t="shared" si="4"/>
        <v>0</v>
      </c>
      <c r="G59" s="3"/>
      <c r="H59" s="8"/>
      <c r="I59" s="3"/>
      <c r="J59" s="7">
        <f t="shared" si="5"/>
        <v>0</v>
      </c>
      <c r="K59" s="3"/>
      <c r="L59" s="8">
        <f t="shared" si="6"/>
        <v>0</v>
      </c>
      <c r="M59" s="3"/>
      <c r="N59" s="7">
        <f t="shared" si="7"/>
        <v>0</v>
      </c>
      <c r="O59" s="12"/>
      <c r="P59" s="8"/>
      <c r="Q59" s="3"/>
      <c r="R59" s="7">
        <f t="shared" si="8"/>
        <v>0</v>
      </c>
      <c r="S59" s="3"/>
      <c r="T59" s="8">
        <v>100</v>
      </c>
      <c r="U59" s="3"/>
      <c r="V59" s="7">
        <f t="shared" si="9"/>
        <v>3.7491095864732125E-4</v>
      </c>
      <c r="W59" s="3"/>
      <c r="X59" s="8">
        <f t="shared" si="10"/>
        <v>-100</v>
      </c>
      <c r="Y59" s="3"/>
      <c r="Z59" s="7">
        <f t="shared" si="11"/>
        <v>-1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8">
        <v>749.09</v>
      </c>
      <c r="E60" s="3"/>
      <c r="F60" s="7">
        <f t="shared" si="4"/>
        <v>3.0986745140443268E-2</v>
      </c>
      <c r="G60" s="3"/>
      <c r="H60" s="8">
        <v>10000</v>
      </c>
      <c r="I60" s="3"/>
      <c r="J60" s="7">
        <f t="shared" si="5"/>
        <v>0.21459227467811159</v>
      </c>
      <c r="K60" s="3"/>
      <c r="L60" s="8">
        <f t="shared" si="6"/>
        <v>-9250.91</v>
      </c>
      <c r="M60" s="3"/>
      <c r="N60" s="7">
        <f t="shared" si="7"/>
        <v>-0.925091</v>
      </c>
      <c r="O60" s="12"/>
      <c r="P60" s="8">
        <v>7513.27</v>
      </c>
      <c r="Q60" s="3"/>
      <c r="R60" s="7">
        <f t="shared" si="8"/>
        <v>5.1314549135961798E-2</v>
      </c>
      <c r="S60" s="3"/>
      <c r="T60" s="8">
        <v>43600</v>
      </c>
      <c r="U60" s="3"/>
      <c r="V60" s="7">
        <f t="shared" si="9"/>
        <v>0.16346117797023207</v>
      </c>
      <c r="W60" s="3"/>
      <c r="X60" s="8">
        <f t="shared" si="10"/>
        <v>-36086.729999999996</v>
      </c>
      <c r="Y60" s="3"/>
      <c r="Z60" s="7">
        <f t="shared" si="11"/>
        <v>-0.82767729357798159</v>
      </c>
    </row>
    <row r="61" spans="1:26" s="70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8">
        <v>1883.5</v>
      </c>
      <c r="E61" s="3"/>
      <c r="F61" s="7">
        <f t="shared" si="4"/>
        <v>7.7912579892969985E-2</v>
      </c>
      <c r="G61" s="3"/>
      <c r="H61" s="8"/>
      <c r="I61" s="3"/>
      <c r="J61" s="7">
        <f t="shared" si="5"/>
        <v>0</v>
      </c>
      <c r="K61" s="3"/>
      <c r="L61" s="8">
        <f t="shared" si="6"/>
        <v>1883.5</v>
      </c>
      <c r="M61" s="3"/>
      <c r="N61" s="7">
        <f t="shared" si="7"/>
        <v>0</v>
      </c>
      <c r="O61" s="12"/>
      <c r="P61" s="8">
        <v>15858.15</v>
      </c>
      <c r="Q61" s="3"/>
      <c r="R61" s="7">
        <f t="shared" si="8"/>
        <v>0.10830887448214327</v>
      </c>
      <c r="S61" s="3"/>
      <c r="T61" s="8"/>
      <c r="U61" s="3"/>
      <c r="V61" s="7">
        <f t="shared" si="9"/>
        <v>0</v>
      </c>
      <c r="W61" s="3"/>
      <c r="X61" s="8">
        <f t="shared" si="10"/>
        <v>15858.15</v>
      </c>
      <c r="Y61" s="3"/>
      <c r="Z61" s="7">
        <f t="shared" si="11"/>
        <v>0</v>
      </c>
    </row>
    <row r="62" spans="1:26" s="69" customFormat="1" ht="15" customHeight="1" outlineLevel="1" collapsed="1" x14ac:dyDescent="0.3">
      <c r="A62" s="25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1634.9</v>
      </c>
      <c r="E62" s="2"/>
      <c r="F62" s="6">
        <f t="shared" si="4"/>
        <v>6.7629029395814513E-2</v>
      </c>
      <c r="G62" s="2"/>
      <c r="H62" s="2">
        <f>SUM(OSRRefH22_8x_0)</f>
        <v>4000</v>
      </c>
      <c r="I62" s="2"/>
      <c r="J62" s="6">
        <f t="shared" si="5"/>
        <v>8.5836909871244635E-2</v>
      </c>
      <c r="K62" s="2"/>
      <c r="L62" s="2">
        <f t="shared" si="6"/>
        <v>-2365.1</v>
      </c>
      <c r="M62" s="2"/>
      <c r="N62" s="6">
        <f t="shared" si="7"/>
        <v>-0.591275</v>
      </c>
      <c r="O62" s="14"/>
      <c r="P62" s="2">
        <f>SUM(OSRRefP22_8x_0)</f>
        <v>7503.48</v>
      </c>
      <c r="Q62" s="2"/>
      <c r="R62" s="6">
        <f t="shared" si="8"/>
        <v>5.1247684849700145E-2</v>
      </c>
      <c r="S62" s="2"/>
      <c r="T62" s="2">
        <f>SUM(OSRRefT22_8x_0)</f>
        <v>32700</v>
      </c>
      <c r="U62" s="2"/>
      <c r="V62" s="6">
        <f t="shared" si="9"/>
        <v>0.12259588347767406</v>
      </c>
      <c r="W62" s="2"/>
      <c r="X62" s="2">
        <f t="shared" si="10"/>
        <v>-25196.52</v>
      </c>
      <c r="Y62" s="2"/>
      <c r="Z62" s="6">
        <f t="shared" si="11"/>
        <v>-0.77053577981651378</v>
      </c>
    </row>
    <row r="63" spans="1:26" s="70" customFormat="1" ht="15" hidden="1" customHeight="1" outlineLevel="2" x14ac:dyDescent="0.3">
      <c r="A63" s="26"/>
      <c r="B63" s="12" t="str">
        <f>CONCATENATE("          ","6259"," - ","ROYALTY &amp; COMMISSIONS")</f>
        <v xml:space="preserve">          6259 - ROYALTY &amp; COMMISSIONS</v>
      </c>
      <c r="C63" s="12"/>
      <c r="D63" s="8">
        <v>1634.9</v>
      </c>
      <c r="E63" s="3"/>
      <c r="F63" s="7">
        <f t="shared" si="4"/>
        <v>6.7629029395814513E-2</v>
      </c>
      <c r="G63" s="3"/>
      <c r="H63" s="8">
        <v>4000</v>
      </c>
      <c r="I63" s="3"/>
      <c r="J63" s="7">
        <f t="shared" si="5"/>
        <v>8.5836909871244635E-2</v>
      </c>
      <c r="K63" s="3"/>
      <c r="L63" s="8">
        <f t="shared" si="6"/>
        <v>-2365.1</v>
      </c>
      <c r="M63" s="3"/>
      <c r="N63" s="7">
        <f t="shared" si="7"/>
        <v>-0.591275</v>
      </c>
      <c r="O63" s="12"/>
      <c r="P63" s="8">
        <v>7503.48</v>
      </c>
      <c r="Q63" s="3"/>
      <c r="R63" s="7">
        <f t="shared" si="8"/>
        <v>5.1247684849700145E-2</v>
      </c>
      <c r="S63" s="3"/>
      <c r="T63" s="8">
        <v>32700</v>
      </c>
      <c r="U63" s="3"/>
      <c r="V63" s="7">
        <f t="shared" si="9"/>
        <v>0.12259588347767406</v>
      </c>
      <c r="W63" s="3"/>
      <c r="X63" s="8">
        <f t="shared" si="10"/>
        <v>-25196.52</v>
      </c>
      <c r="Y63" s="3"/>
      <c r="Z63" s="7">
        <f t="shared" si="11"/>
        <v>-0.77053577981651378</v>
      </c>
    </row>
    <row r="64" spans="1:26" s="69" customFormat="1" ht="15" customHeight="1" outlineLevel="1" collapsed="1" x14ac:dyDescent="0.3">
      <c r="A64" s="25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SUM(OSRRefD22_9x_0)</f>
        <v>5674.86</v>
      </c>
      <c r="E64" s="2"/>
      <c r="F64" s="6">
        <f t="shared" si="4"/>
        <v>0.23474541180324909</v>
      </c>
      <c r="G64" s="2"/>
      <c r="H64" s="2">
        <f>SUM(OSRRefH22_9x_0)</f>
        <v>5950</v>
      </c>
      <c r="I64" s="2"/>
      <c r="J64" s="6">
        <f t="shared" si="5"/>
        <v>0.12768240343347639</v>
      </c>
      <c r="K64" s="2"/>
      <c r="L64" s="2">
        <f t="shared" si="6"/>
        <v>-275.14000000000033</v>
      </c>
      <c r="M64" s="2"/>
      <c r="N64" s="6">
        <f t="shared" si="7"/>
        <v>-4.6242016806722741E-2</v>
      </c>
      <c r="O64" s="14"/>
      <c r="P64" s="2">
        <f>SUM(OSRRefP22_9x_0)</f>
        <v>28292.78</v>
      </c>
      <c r="Q64" s="2"/>
      <c r="R64" s="6">
        <f t="shared" si="8"/>
        <v>0.19323560174237811</v>
      </c>
      <c r="S64" s="2"/>
      <c r="T64" s="2">
        <f>SUM(OSRRefT22_9x_0)</f>
        <v>39500</v>
      </c>
      <c r="U64" s="2"/>
      <c r="V64" s="6">
        <f t="shared" si="9"/>
        <v>0.1480898286656919</v>
      </c>
      <c r="W64" s="2"/>
      <c r="X64" s="2">
        <f t="shared" si="10"/>
        <v>-11207.220000000001</v>
      </c>
      <c r="Y64" s="2"/>
      <c r="Z64" s="6">
        <f t="shared" si="11"/>
        <v>-0.28372708860759499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>
        <v>3295.15</v>
      </c>
      <c r="E65" s="3"/>
      <c r="F65" s="7">
        <f t="shared" si="4"/>
        <v>0.13630668310821348</v>
      </c>
      <c r="G65" s="3"/>
      <c r="H65" s="8">
        <v>50</v>
      </c>
      <c r="I65" s="3"/>
      <c r="J65" s="7">
        <f t="shared" si="5"/>
        <v>1.0729613733905579E-3</v>
      </c>
      <c r="K65" s="3"/>
      <c r="L65" s="8">
        <f t="shared" si="6"/>
        <v>3245.15</v>
      </c>
      <c r="M65" s="3"/>
      <c r="N65" s="7">
        <f t="shared" si="7"/>
        <v>64.903000000000006</v>
      </c>
      <c r="O65" s="12"/>
      <c r="P65" s="8">
        <v>8157.46</v>
      </c>
      <c r="Q65" s="3"/>
      <c r="R65" s="7">
        <f t="shared" si="8"/>
        <v>5.5714273810823105E-2</v>
      </c>
      <c r="S65" s="3"/>
      <c r="T65" s="8">
        <v>50</v>
      </c>
      <c r="U65" s="3"/>
      <c r="V65" s="7">
        <f t="shared" si="9"/>
        <v>1.8745547932366062E-4</v>
      </c>
      <c r="W65" s="3"/>
      <c r="X65" s="8">
        <f t="shared" si="10"/>
        <v>8107.46</v>
      </c>
      <c r="Y65" s="3"/>
      <c r="Z65" s="7">
        <f t="shared" si="11"/>
        <v>162.14920000000001</v>
      </c>
    </row>
    <row r="66" spans="1:26" s="70" customFormat="1" ht="15" hidden="1" customHeight="1" outlineLevel="2" x14ac:dyDescent="0.3">
      <c r="A66" s="26"/>
      <c r="B66" s="12" t="str">
        <f>CONCATENATE("          ","6243"," - ","PAPER SUPPLIES")</f>
        <v xml:space="preserve">          6243 - PAPER SUPPLIES</v>
      </c>
      <c r="C66" s="12"/>
      <c r="D66" s="8">
        <v>1072.69</v>
      </c>
      <c r="E66" s="3"/>
      <c r="F66" s="7">
        <f t="shared" si="4"/>
        <v>4.4372734444061576E-2</v>
      </c>
      <c r="G66" s="3"/>
      <c r="H66" s="8">
        <v>3800</v>
      </c>
      <c r="I66" s="3"/>
      <c r="J66" s="7">
        <f t="shared" si="5"/>
        <v>8.15450643776824E-2</v>
      </c>
      <c r="K66" s="3"/>
      <c r="L66" s="8">
        <f t="shared" si="6"/>
        <v>-2727.31</v>
      </c>
      <c r="M66" s="3"/>
      <c r="N66" s="7">
        <f t="shared" si="7"/>
        <v>-0.71771315789473678</v>
      </c>
      <c r="O66" s="12"/>
      <c r="P66" s="8">
        <v>5621.93</v>
      </c>
      <c r="Q66" s="3"/>
      <c r="R66" s="7">
        <f t="shared" si="8"/>
        <v>3.8396970057503282E-2</v>
      </c>
      <c r="S66" s="3"/>
      <c r="T66" s="8">
        <v>30200</v>
      </c>
      <c r="U66" s="3"/>
      <c r="V66" s="7">
        <f t="shared" si="9"/>
        <v>0.11322310951149102</v>
      </c>
      <c r="W66" s="3"/>
      <c r="X66" s="8">
        <f t="shared" si="10"/>
        <v>-24578.07</v>
      </c>
      <c r="Y66" s="3"/>
      <c r="Z66" s="7">
        <f t="shared" si="11"/>
        <v>-0.81384337748344371</v>
      </c>
    </row>
    <row r="67" spans="1:26" s="70" customFormat="1" ht="15" hidden="1" customHeight="1" outlineLevel="2" x14ac:dyDescent="0.3">
      <c r="A67" s="26"/>
      <c r="B67" s="12" t="str">
        <f>CONCATENATE("          ","6245"," - ","PRINTING")</f>
        <v xml:space="preserve">          6245 - PRINTING</v>
      </c>
      <c r="C67" s="12"/>
      <c r="D67" s="8">
        <v>502.78</v>
      </c>
      <c r="E67" s="3"/>
      <c r="F67" s="7">
        <f t="shared" si="4"/>
        <v>2.0797922441511785E-2</v>
      </c>
      <c r="G67" s="3"/>
      <c r="H67" s="8">
        <v>1600</v>
      </c>
      <c r="I67" s="3"/>
      <c r="J67" s="7">
        <f t="shared" si="5"/>
        <v>3.4334763948497854E-2</v>
      </c>
      <c r="K67" s="3"/>
      <c r="L67" s="8">
        <f t="shared" si="6"/>
        <v>-1097.22</v>
      </c>
      <c r="M67" s="3"/>
      <c r="N67" s="7">
        <f t="shared" si="7"/>
        <v>-0.68576250000000005</v>
      </c>
      <c r="O67" s="12"/>
      <c r="P67" s="8">
        <v>1661.33</v>
      </c>
      <c r="Q67" s="3"/>
      <c r="R67" s="7">
        <f t="shared" si="8"/>
        <v>1.134664399336739E-2</v>
      </c>
      <c r="S67" s="3"/>
      <c r="T67" s="8">
        <v>7495</v>
      </c>
      <c r="U67" s="3"/>
      <c r="V67" s="7">
        <f t="shared" si="9"/>
        <v>2.8099576350616728E-2</v>
      </c>
      <c r="W67" s="3"/>
      <c r="X67" s="8">
        <f t="shared" si="10"/>
        <v>-5833.67</v>
      </c>
      <c r="Y67" s="3"/>
      <c r="Z67" s="7">
        <f t="shared" si="11"/>
        <v>-0.77834156104069385</v>
      </c>
    </row>
    <row r="68" spans="1:26" s="70" customFormat="1" ht="15" hidden="1" customHeight="1" outlineLevel="2" x14ac:dyDescent="0.3">
      <c r="A68" s="26"/>
      <c r="B68" s="12" t="str">
        <f>CONCATENATE("          ","6247"," - ","STORE SUPPLIES")</f>
        <v xml:space="preserve">          6247 - STORE SUPPLIES</v>
      </c>
      <c r="C68" s="12"/>
      <c r="D68" s="8">
        <v>804.24</v>
      </c>
      <c r="E68" s="3"/>
      <c r="F68" s="7">
        <f t="shared" si="4"/>
        <v>3.3268071809462271E-2</v>
      </c>
      <c r="G68" s="3"/>
      <c r="H68" s="8">
        <v>500</v>
      </c>
      <c r="I68" s="3"/>
      <c r="J68" s="7">
        <f t="shared" si="5"/>
        <v>1.0729613733905579E-2</v>
      </c>
      <c r="K68" s="3"/>
      <c r="L68" s="8">
        <f t="shared" si="6"/>
        <v>304.24</v>
      </c>
      <c r="M68" s="3"/>
      <c r="N68" s="7">
        <f t="shared" si="7"/>
        <v>0.60848000000000002</v>
      </c>
      <c r="O68" s="12"/>
      <c r="P68" s="8">
        <v>12852.06</v>
      </c>
      <c r="Q68" s="3"/>
      <c r="R68" s="7">
        <f t="shared" si="8"/>
        <v>8.7777713880684324E-2</v>
      </c>
      <c r="S68" s="3"/>
      <c r="T68" s="8">
        <v>1755</v>
      </c>
      <c r="U68" s="3"/>
      <c r="V68" s="7">
        <f t="shared" si="9"/>
        <v>6.5796873242604881E-3</v>
      </c>
      <c r="W68" s="3"/>
      <c r="X68" s="8">
        <f t="shared" si="10"/>
        <v>11097.06</v>
      </c>
      <c r="Y68" s="3"/>
      <c r="Z68" s="7">
        <f t="shared" si="11"/>
        <v>6.3231111111111105</v>
      </c>
    </row>
    <row r="69" spans="1:26" s="69" customFormat="1" ht="15" customHeight="1" outlineLevel="1" collapsed="1" x14ac:dyDescent="0.3">
      <c r="A69" s="25"/>
      <c r="B69" s="14" t="str">
        <f>CONCATENATE("     ","Telephone/Data Lines                              ")</f>
        <v xml:space="preserve">     Telephone/Data Lines                              </v>
      </c>
      <c r="C69" s="14"/>
      <c r="D69" s="2">
        <f>SUM(OSRRefD22_10x_0)</f>
        <v>143.55000000000001</v>
      </c>
      <c r="E69" s="2"/>
      <c r="F69" s="6">
        <f t="shared" si="4"/>
        <v>5.9380678755698657E-3</v>
      </c>
      <c r="G69" s="2"/>
      <c r="H69" s="2">
        <f>SUM(OSRRefH22_10x_0)</f>
        <v>175</v>
      </c>
      <c r="I69" s="2"/>
      <c r="J69" s="6">
        <f t="shared" si="5"/>
        <v>3.7553648068669528E-3</v>
      </c>
      <c r="K69" s="2"/>
      <c r="L69" s="2">
        <f t="shared" si="6"/>
        <v>-31.449999999999989</v>
      </c>
      <c r="M69" s="2"/>
      <c r="N69" s="6">
        <f t="shared" si="7"/>
        <v>-0.17971428571428566</v>
      </c>
      <c r="O69" s="14"/>
      <c r="P69" s="2">
        <f>SUM(OSRRefP22_10x_0)</f>
        <v>884.4</v>
      </c>
      <c r="Q69" s="2"/>
      <c r="R69" s="6">
        <f t="shared" si="8"/>
        <v>6.0403242870074696E-3</v>
      </c>
      <c r="S69" s="2"/>
      <c r="T69" s="2">
        <f>SUM(OSRRefT22_10x_0)</f>
        <v>1400</v>
      </c>
      <c r="U69" s="2"/>
      <c r="V69" s="6">
        <f t="shared" si="9"/>
        <v>5.2487534210624975E-3</v>
      </c>
      <c r="W69" s="2"/>
      <c r="X69" s="2">
        <f t="shared" si="10"/>
        <v>-515.6</v>
      </c>
      <c r="Y69" s="2"/>
      <c r="Z69" s="6">
        <f t="shared" si="11"/>
        <v>-0.36828571428571433</v>
      </c>
    </row>
    <row r="70" spans="1:26" s="70" customFormat="1" ht="15" hidden="1" customHeight="1" outlineLevel="2" x14ac:dyDescent="0.3">
      <c r="A70" s="26"/>
      <c r="B70" s="12" t="str">
        <f>CONCATENATE("          ","6309"," - ","TELEPHONE")</f>
        <v xml:space="preserve">          6309 - TELEPHONE</v>
      </c>
      <c r="C70" s="12"/>
      <c r="D70" s="8">
        <v>143.55000000000001</v>
      </c>
      <c r="E70" s="3"/>
      <c r="F70" s="7">
        <f t="shared" si="4"/>
        <v>5.9380678755698657E-3</v>
      </c>
      <c r="G70" s="3"/>
      <c r="H70" s="8">
        <v>175</v>
      </c>
      <c r="I70" s="3"/>
      <c r="J70" s="7">
        <f t="shared" si="5"/>
        <v>3.7553648068669528E-3</v>
      </c>
      <c r="K70" s="3"/>
      <c r="L70" s="8">
        <f t="shared" si="6"/>
        <v>-31.449999999999989</v>
      </c>
      <c r="M70" s="3"/>
      <c r="N70" s="7">
        <f t="shared" si="7"/>
        <v>-0.17971428571428566</v>
      </c>
      <c r="O70" s="12"/>
      <c r="P70" s="8">
        <v>884.4</v>
      </c>
      <c r="Q70" s="3"/>
      <c r="R70" s="7">
        <f t="shared" si="8"/>
        <v>6.0403242870074696E-3</v>
      </c>
      <c r="S70" s="3"/>
      <c r="T70" s="8">
        <v>1400</v>
      </c>
      <c r="U70" s="3"/>
      <c r="V70" s="7">
        <f t="shared" si="9"/>
        <v>5.2487534210624975E-3</v>
      </c>
      <c r="W70" s="3"/>
      <c r="X70" s="8">
        <f t="shared" si="10"/>
        <v>-515.6</v>
      </c>
      <c r="Y70" s="3"/>
      <c r="Z70" s="7">
        <f t="shared" si="11"/>
        <v>-0.36828571428571433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7" t="s">
        <v>291</v>
      </c>
      <c r="C72" s="11"/>
      <c r="D72" s="5">
        <f>SUM(OSRRefD25x_0)</f>
        <v>0</v>
      </c>
      <c r="E72" s="5"/>
      <c r="F72" s="13">
        <f>IF(D$12=0,0,D72/D$12)</f>
        <v>0</v>
      </c>
      <c r="G72" s="5"/>
      <c r="H72" s="5">
        <f>SUM(OSRRefH25x_0)</f>
        <v>0</v>
      </c>
      <c r="I72" s="5"/>
      <c r="J72" s="13">
        <f>IF(H$12=0,0,H72/H$12)</f>
        <v>0</v>
      </c>
      <c r="K72" s="5"/>
      <c r="L72" s="5">
        <f>+D72-H72</f>
        <v>0</v>
      </c>
      <c r="M72" s="5"/>
      <c r="N72" s="13">
        <f>IF(H72=0,0,L72/H72)</f>
        <v>0</v>
      </c>
      <c r="O72" s="11"/>
      <c r="P72" s="5">
        <f>SUM(OSRRefP25x_0)</f>
        <v>15135.44</v>
      </c>
      <c r="Q72" s="5"/>
      <c r="R72" s="13">
        <f>IF(P$12=0,0,P72/P$12)</f>
        <v>0.10337286954607004</v>
      </c>
      <c r="S72" s="5"/>
      <c r="T72" s="5">
        <f>SUM(OSRRefT25x_0)</f>
        <v>33910</v>
      </c>
      <c r="U72" s="5"/>
      <c r="V72" s="13">
        <f>IF(T$12=0,0,T72/T$12)</f>
        <v>0.12713230607730663</v>
      </c>
      <c r="W72" s="5"/>
      <c r="X72" s="5">
        <f>+P72-T72</f>
        <v>-18774.559999999998</v>
      </c>
      <c r="Y72" s="5"/>
      <c r="Z72" s="13">
        <f>IF(T72=0,0,X72/T72)</f>
        <v>-0.55365850781480386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0</f>
        <v>0</v>
      </c>
      <c r="E73" s="3"/>
      <c r="F73" s="20">
        <f>IF(D$12=0,0,D73/D$12)</f>
        <v>0</v>
      </c>
      <c r="G73" s="3"/>
      <c r="H73" s="3"/>
      <c r="I73" s="3"/>
      <c r="J73" s="20">
        <f>IF(H$12=0,0,H73/H$12)</f>
        <v>0</v>
      </c>
      <c r="K73" s="3"/>
      <c r="L73" s="3">
        <f>+D73-H73</f>
        <v>0</v>
      </c>
      <c r="M73" s="3"/>
      <c r="N73" s="20">
        <f>IF(H73=0,0,L73/H73)</f>
        <v>0</v>
      </c>
      <c r="O73" s="12"/>
      <c r="P73" s="3">
        <f>--15135.44</f>
        <v>15135.44</v>
      </c>
      <c r="Q73" s="3"/>
      <c r="R73" s="20">
        <f>IF(P$12=0,0,P73/P$12)</f>
        <v>0.10337286954607004</v>
      </c>
      <c r="S73" s="3"/>
      <c r="T73" s="3">
        <v>33910</v>
      </c>
      <c r="U73" s="3"/>
      <c r="V73" s="20">
        <f>IF(T$12=0,0,T73/T$12)</f>
        <v>0.12713230607730663</v>
      </c>
      <c r="W73" s="3"/>
      <c r="X73" s="3">
        <f>+P73-T73</f>
        <v>-18774.559999999998</v>
      </c>
      <c r="Y73" s="3"/>
      <c r="Z73" s="20">
        <f>IF(T73=0,0,X73/T73)</f>
        <v>-0.55365850781480386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8" t="s">
        <v>292</v>
      </c>
      <c r="C75" s="28"/>
      <c r="D75" s="21">
        <f>+D23-D25+D72</f>
        <v>3238.2300000000032</v>
      </c>
      <c r="E75" s="15"/>
      <c r="F75" s="22">
        <f>IF(D$12=0,0,D75/D$12)</f>
        <v>0.13395213888336208</v>
      </c>
      <c r="G75" s="15"/>
      <c r="H75" s="21">
        <f>+H23-H25+H72</f>
        <v>8992.3436763846112</v>
      </c>
      <c r="I75" s="15"/>
      <c r="J75" s="22">
        <f>IF(H$12=0,0,H75/H$12)</f>
        <v>0.19296874842027062</v>
      </c>
      <c r="K75" s="16"/>
      <c r="L75" s="21">
        <f>+D75-H75</f>
        <v>-5754.113676384608</v>
      </c>
      <c r="M75" s="16"/>
      <c r="N75" s="22">
        <f>IF(H75=0,0,L75/H75)</f>
        <v>-0.63989032041734195</v>
      </c>
      <c r="O75" s="27"/>
      <c r="P75" s="21">
        <f>+P23-P25+P72</f>
        <v>-21442.800000000017</v>
      </c>
      <c r="Q75" s="15"/>
      <c r="R75" s="22">
        <f>IF(P$12=0,0,P75/P$12)</f>
        <v>-0.1464512275231161</v>
      </c>
      <c r="S75" s="15"/>
      <c r="T75" s="21">
        <f>+T23-T25+T72</f>
        <v>48327.65973667294</v>
      </c>
      <c r="U75" s="15"/>
      <c r="V75" s="22">
        <f>IF(T$12=0,0,T75/T$12)</f>
        <v>0.18118569241057603</v>
      </c>
      <c r="W75" s="16"/>
      <c r="X75" s="21">
        <f>+P75-T75</f>
        <v>-69770.459736672958</v>
      </c>
      <c r="Y75" s="16"/>
      <c r="Z75" s="22">
        <f>IF(T75=0,0,X75/T75)</f>
        <v>-1.4436962211047926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2095.2600000000002</v>
      </c>
      <c r="E77" s="5"/>
      <c r="F77" s="13">
        <f>IF(D$12=0,0,D77/D$12)</f>
        <v>8.6672212448390934E-2</v>
      </c>
      <c r="G77" s="5"/>
      <c r="H77" s="5">
        <v>5026</v>
      </c>
      <c r="I77" s="5"/>
      <c r="J77" s="13">
        <f>IF(H$12=0,0,H77/H$12)</f>
        <v>0.10785407725321888</v>
      </c>
      <c r="K77" s="5"/>
      <c r="L77" s="5">
        <f>+D77-H77</f>
        <v>-2930.74</v>
      </c>
      <c r="M77" s="5"/>
      <c r="N77" s="13">
        <f>IF(H77=0,0,L77/H77)</f>
        <v>-0.58311579785117384</v>
      </c>
      <c r="O77" s="11"/>
      <c r="P77" s="5">
        <v>18276.04</v>
      </c>
      <c r="Q77" s="5"/>
      <c r="R77" s="13">
        <f>IF(P$12=0,0,P77/P$12)</f>
        <v>0.12482271402342832</v>
      </c>
      <c r="S77" s="5"/>
      <c r="T77" s="5">
        <v>32608</v>
      </c>
      <c r="U77" s="5"/>
      <c r="V77" s="13">
        <f>IF(T$12=0,0,T77/T$12)</f>
        <v>0.12225096539571852</v>
      </c>
      <c r="W77" s="5"/>
      <c r="X77" s="5">
        <f>+P77-T77</f>
        <v>-14331.96</v>
      </c>
      <c r="Y77" s="5"/>
      <c r="Z77" s="13">
        <f>IF(T77=0,0,X77/T77)</f>
        <v>-0.43952281648675168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294</v>
      </c>
      <c r="C79" s="28"/>
      <c r="D79" s="33">
        <f>+D75-D77</f>
        <v>1142.970000000003</v>
      </c>
      <c r="E79" s="15"/>
      <c r="F79" s="32">
        <f>IF(D$12=0,0,D79/D$12)</f>
        <v>4.7279926434971142E-2</v>
      </c>
      <c r="G79" s="15"/>
      <c r="H79" s="33">
        <f>+H75-H77</f>
        <v>3966.3436763846112</v>
      </c>
      <c r="I79" s="15"/>
      <c r="J79" s="32">
        <f>IF(H$12=0,0,H79/H$12)</f>
        <v>8.5114671167051736E-2</v>
      </c>
      <c r="K79" s="16"/>
      <c r="L79" s="33">
        <f>D79-H79</f>
        <v>-2823.3736763846082</v>
      </c>
      <c r="M79" s="16"/>
      <c r="N79" s="32">
        <f>IF(H79=0,0,L79/H79)</f>
        <v>-0.71183283818666987</v>
      </c>
      <c r="O79" s="27"/>
      <c r="P79" s="33">
        <f>+P75-P77</f>
        <v>-39718.840000000018</v>
      </c>
      <c r="Q79" s="15"/>
      <c r="R79" s="32">
        <f>IF(P$12=0,0,P79/P$12)</f>
        <v>-0.27127394154654438</v>
      </c>
      <c r="S79" s="15"/>
      <c r="T79" s="33">
        <f>+T75-T77</f>
        <v>15719.65973667294</v>
      </c>
      <c r="U79" s="15"/>
      <c r="V79" s="32">
        <f>IF(T$12=0,0,T79/T$12)</f>
        <v>5.8934727014857496E-2</v>
      </c>
      <c r="W79" s="16"/>
      <c r="X79" s="33">
        <f>P79-T79</f>
        <v>-55438.499736672959</v>
      </c>
      <c r="Y79" s="16"/>
      <c r="Z79" s="32">
        <f>IF(T79=0,0,X79/T79)</f>
        <v>-3.526698456922611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8" t="s">
        <v>297</v>
      </c>
      <c r="C82" s="28"/>
      <c r="D82" s="34">
        <f>SUM(D79:D81)</f>
        <v>1142.970000000003</v>
      </c>
      <c r="E82" s="15"/>
      <c r="F82" s="30">
        <f>IF(D$12=0,0,D82/D$12)</f>
        <v>4.7279926434971142E-2</v>
      </c>
      <c r="G82" s="15"/>
      <c r="H82" s="34">
        <f>SUM(H79:H81)</f>
        <v>3966.3436763846112</v>
      </c>
      <c r="I82" s="15"/>
      <c r="J82" s="30">
        <f>IF(H$12=0,0,H82/H$12)</f>
        <v>8.5114671167051736E-2</v>
      </c>
      <c r="K82" s="16"/>
      <c r="L82" s="34">
        <f>+D82-H82</f>
        <v>-2823.3736763846082</v>
      </c>
      <c r="M82" s="16"/>
      <c r="N82" s="30">
        <f>IF(H82=0,0,L82/H82)</f>
        <v>-0.71183283818666987</v>
      </c>
      <c r="O82" s="27"/>
      <c r="P82" s="34">
        <f>SUM(P79:P81)</f>
        <v>-39718.840000000018</v>
      </c>
      <c r="Q82" s="15"/>
      <c r="R82" s="30">
        <f>IF(P$12=0,0,P82/P$12)</f>
        <v>-0.27127394154654438</v>
      </c>
      <c r="S82" s="15"/>
      <c r="T82" s="34">
        <f>SUM(T79:T81)</f>
        <v>15719.65973667294</v>
      </c>
      <c r="U82" s="15"/>
      <c r="V82" s="30">
        <f>IF(T$12=0,0,T82/T$12)</f>
        <v>5.8934727014857496E-2</v>
      </c>
      <c r="W82" s="16"/>
      <c r="X82" s="34">
        <f>+P82-T82</f>
        <v>-55438.499736672959</v>
      </c>
      <c r="Y82" s="16"/>
      <c r="Z82" s="30">
        <f>IF(T82=0,0,X82/T82)</f>
        <v>-3.526698456922611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0"/>
      <c r="B84" s="57">
        <v>44634.883393981479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0"/>
      <c r="B85" s="56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0"/>
      <c r="B86" s="54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E7B26-23DE-265A-A377-1CBE2FAD6312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","316"," - ","Campus Copy Center")</f>
        <v>Department 316 - Campus Copy Center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24174.530000000002</v>
      </c>
      <c r="E12" s="5"/>
      <c r="F12" s="13"/>
      <c r="G12" s="5"/>
      <c r="H12" s="5">
        <f>SUM(OSRRefH13x_0)</f>
        <v>46600</v>
      </c>
      <c r="I12" s="5"/>
      <c r="J12" s="13"/>
      <c r="K12" s="5"/>
      <c r="L12" s="5">
        <f t="shared" ref="L12:L17" si="0">+D12-H12</f>
        <v>-22425.469999999998</v>
      </c>
      <c r="M12" s="5"/>
      <c r="N12" s="13">
        <f t="shared" ref="N12:N17" si="1">IF(H12=0,0,L12/H12)</f>
        <v>-0.48123326180257503</v>
      </c>
      <c r="O12" s="11"/>
      <c r="P12" s="5">
        <f>SUM(OSRRefP13x_0)</f>
        <v>146415.98000000001</v>
      </c>
      <c r="Q12" s="5"/>
      <c r="R12" s="13"/>
      <c r="S12" s="5"/>
      <c r="T12" s="5">
        <f>SUM(OSRRefT13x_0)</f>
        <v>266730</v>
      </c>
      <c r="U12" s="5"/>
      <c r="V12" s="13"/>
      <c r="W12" s="5"/>
      <c r="X12" s="5">
        <f t="shared" ref="X12:X17" si="2">+P12-T12</f>
        <v>-120314.01999999999</v>
      </c>
      <c r="Y12" s="5"/>
      <c r="Z12" s="13">
        <f t="shared" ref="Z12:Z17" si="3">IF(T12=0,0,X12/T12)</f>
        <v>-0.4510704457691298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--17204.32</f>
        <v>17204.32</v>
      </c>
      <c r="E13" s="3"/>
      <c r="F13" s="20"/>
      <c r="G13" s="3"/>
      <c r="H13" s="3">
        <v>16800</v>
      </c>
      <c r="I13" s="3"/>
      <c r="J13" s="20"/>
      <c r="K13" s="3"/>
      <c r="L13" s="3">
        <f t="shared" si="0"/>
        <v>404.31999999999971</v>
      </c>
      <c r="M13" s="3"/>
      <c r="N13" s="20">
        <f t="shared" si="1"/>
        <v>2.4066666666666649E-2</v>
      </c>
      <c r="O13" s="12"/>
      <c r="P13" s="3">
        <f>--117516.11</f>
        <v>117516.11</v>
      </c>
      <c r="Q13" s="3"/>
      <c r="R13" s="20"/>
      <c r="S13" s="3"/>
      <c r="T13" s="3">
        <v>151430</v>
      </c>
      <c r="U13" s="3"/>
      <c r="V13" s="20"/>
      <c r="W13" s="3"/>
      <c r="X13" s="3">
        <f t="shared" si="2"/>
        <v>-33913.89</v>
      </c>
      <c r="Y13" s="3"/>
      <c r="Z13" s="20">
        <f t="shared" si="3"/>
        <v>-0.22395753813643268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--7098.56</f>
        <v>7098.56</v>
      </c>
      <c r="E14" s="3"/>
      <c r="F14" s="20"/>
      <c r="G14" s="3"/>
      <c r="H14" s="3">
        <v>29800</v>
      </c>
      <c r="I14" s="3"/>
      <c r="J14" s="20"/>
      <c r="K14" s="3"/>
      <c r="L14" s="3">
        <f t="shared" si="0"/>
        <v>-22701.439999999999</v>
      </c>
      <c r="M14" s="3"/>
      <c r="N14" s="20">
        <f t="shared" si="1"/>
        <v>-0.76179328859060402</v>
      </c>
      <c r="O14" s="12"/>
      <c r="P14" s="3">
        <f>--29586.62</f>
        <v>29586.62</v>
      </c>
      <c r="Q14" s="3"/>
      <c r="R14" s="20"/>
      <c r="S14" s="3"/>
      <c r="T14" s="3">
        <v>115300</v>
      </c>
      <c r="U14" s="3"/>
      <c r="V14" s="20"/>
      <c r="W14" s="3"/>
      <c r="X14" s="3">
        <f t="shared" si="2"/>
        <v>-85713.38</v>
      </c>
      <c r="Y14" s="3"/>
      <c r="Z14" s="20">
        <f t="shared" si="3"/>
        <v>-0.74339444926279274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-128.35</f>
        <v>-128.35</v>
      </c>
      <c r="E17" s="3"/>
      <c r="F17" s="20"/>
      <c r="G17" s="3"/>
      <c r="H17" s="3"/>
      <c r="I17" s="3"/>
      <c r="J17" s="20"/>
      <c r="K17" s="3"/>
      <c r="L17" s="3">
        <f t="shared" si="0"/>
        <v>-128.35</v>
      </c>
      <c r="M17" s="3"/>
      <c r="N17" s="20">
        <f t="shared" si="1"/>
        <v>0</v>
      </c>
      <c r="O17" s="12"/>
      <c r="P17" s="3">
        <f>-686.75</f>
        <v>-686.75</v>
      </c>
      <c r="Q17" s="3"/>
      <c r="R17" s="20"/>
      <c r="S17" s="3"/>
      <c r="T17" s="3"/>
      <c r="U17" s="3"/>
      <c r="V17" s="20"/>
      <c r="W17" s="3"/>
      <c r="X17" s="3">
        <f t="shared" si="2"/>
        <v>-686.75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5.641460720339405E-5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5.641460720339405E-5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D12-D19</f>
        <v>24174.530000000002</v>
      </c>
      <c r="E23" s="15"/>
      <c r="F23" s="22">
        <f>IF(D$12=0,0,D23/D$12)</f>
        <v>1</v>
      </c>
      <c r="G23" s="15"/>
      <c r="H23" s="21">
        <f>H12-H19</f>
        <v>46600</v>
      </c>
      <c r="I23" s="15"/>
      <c r="J23" s="22">
        <f>IF(H$12=0,0,H23/H$12)</f>
        <v>1</v>
      </c>
      <c r="K23" s="16"/>
      <c r="L23" s="21">
        <f>+D23-H23</f>
        <v>-22425.469999999998</v>
      </c>
      <c r="M23" s="16"/>
      <c r="N23" s="22">
        <f>IF(H23=0,0,L23/H23)</f>
        <v>-0.48123326180257503</v>
      </c>
      <c r="O23" s="27"/>
      <c r="P23" s="21">
        <f>P12-P19</f>
        <v>146407.72</v>
      </c>
      <c r="Q23" s="15"/>
      <c r="R23" s="22">
        <f>IF(P$12=0,0,P23/P$12)</f>
        <v>0.9999435853927966</v>
      </c>
      <c r="S23" s="15"/>
      <c r="T23" s="21">
        <f>T12-T19</f>
        <v>266730</v>
      </c>
      <c r="U23" s="15"/>
      <c r="V23" s="22">
        <f>IF(T$12=0,0,T23/T$12)</f>
        <v>1</v>
      </c>
      <c r="W23" s="16"/>
      <c r="X23" s="21">
        <f>+P23-T23</f>
        <v>-120322.28</v>
      </c>
      <c r="Y23" s="16"/>
      <c r="Z23" s="22">
        <f>IF(T23=0,0,X23/T23)</f>
        <v>-0.45110141341431409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20936.3</v>
      </c>
      <c r="E25" s="23"/>
      <c r="F25" s="29">
        <f t="shared" ref="F25:F70" si="4">IF(D$12=0,0,D25/D$12)</f>
        <v>0.8660478611166379</v>
      </c>
      <c r="G25" s="23"/>
      <c r="H25" s="23" cm="1">
        <f t="array" ref="H25">SUM(OSRRefH22x_0)</f>
        <v>37607.656323615389</v>
      </c>
      <c r="I25" s="23"/>
      <c r="J25" s="29">
        <f t="shared" ref="J25:J70" si="5">IF(H$12=0,0,H25/H$12)</f>
        <v>0.80703125157972933</v>
      </c>
      <c r="K25" s="5"/>
      <c r="L25" s="23">
        <f t="shared" ref="L25:L70" si="6">+D25-H25</f>
        <v>-16671.35632361539</v>
      </c>
      <c r="M25" s="5"/>
      <c r="N25" s="29">
        <f t="shared" ref="N25:N70" si="7">IF(H25=0,0,L25/H25)</f>
        <v>-0.44329686966286069</v>
      </c>
      <c r="O25" s="11"/>
      <c r="P25" s="23" cm="1">
        <f t="array" ref="P25">SUM(OSRRefP22x_0)</f>
        <v>182985.96000000002</v>
      </c>
      <c r="Q25" s="23"/>
      <c r="R25" s="29">
        <f t="shared" ref="R25:R70" si="8">IF(P$12=0,0,P25/P$12)</f>
        <v>1.2497676824619828</v>
      </c>
      <c r="S25" s="23"/>
      <c r="T25" s="23" cm="1">
        <f t="array" ref="T25">SUM(OSRRefT22x_0)</f>
        <v>252312.34026332706</v>
      </c>
      <c r="U25" s="23"/>
      <c r="V25" s="29">
        <f t="shared" ref="V25:V70" si="9">IF(T$12=0,0,T25/T$12)</f>
        <v>0.94594661366673061</v>
      </c>
      <c r="W25" s="5"/>
      <c r="X25" s="23">
        <f t="shared" ref="X25:X70" si="10">+P25-T25</f>
        <v>-69326.380263327039</v>
      </c>
      <c r="Y25" s="5"/>
      <c r="Z25" s="29">
        <f t="shared" ref="Z25:Z70" si="11">IF(T25=0,0,X25/T25)</f>
        <v>-0.27476412842500769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4515.66</v>
      </c>
      <c r="E26" s="2"/>
      <c r="F26" s="6">
        <f t="shared" si="4"/>
        <v>0.18679411761055953</v>
      </c>
      <c r="G26" s="2"/>
      <c r="H26" s="2">
        <f>SUM(OSRRefH22_0x_0)</f>
        <v>4568.4361697692329</v>
      </c>
      <c r="I26" s="2"/>
      <c r="J26" s="6">
        <f t="shared" si="5"/>
        <v>9.8035110939253919E-2</v>
      </c>
      <c r="K26" s="2"/>
      <c r="L26" s="2">
        <f t="shared" si="6"/>
        <v>-52.776169769233093</v>
      </c>
      <c r="M26" s="2"/>
      <c r="N26" s="6">
        <f t="shared" si="7"/>
        <v>-1.1552349164571778E-2</v>
      </c>
      <c r="O26" s="14"/>
      <c r="P26" s="2">
        <f>SUM(OSRRefP22_0x_0)</f>
        <v>62759.21</v>
      </c>
      <c r="Q26" s="2"/>
      <c r="R26" s="6">
        <f t="shared" si="8"/>
        <v>0.42863634147037771</v>
      </c>
      <c r="S26" s="2"/>
      <c r="T26" s="2">
        <f>SUM(OSRRefT22_0x_0)</f>
        <v>49421.328378711543</v>
      </c>
      <c r="U26" s="2"/>
      <c r="V26" s="6">
        <f t="shared" si="9"/>
        <v>0.18528597600086807</v>
      </c>
      <c r="W26" s="2"/>
      <c r="X26" s="2">
        <f t="shared" si="10"/>
        <v>13337.881621288456</v>
      </c>
      <c r="Y26" s="2"/>
      <c r="Z26" s="6">
        <f t="shared" si="11"/>
        <v>0.26988108290172563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665.6</v>
      </c>
      <c r="E27" s="3"/>
      <c r="F27" s="7">
        <f t="shared" si="4"/>
        <v>2.7533110261088838E-2</v>
      </c>
      <c r="G27" s="3"/>
      <c r="H27" s="8">
        <v>929.43271361538496</v>
      </c>
      <c r="I27" s="3"/>
      <c r="J27" s="7">
        <f t="shared" si="5"/>
        <v>1.9944908017497532E-2</v>
      </c>
      <c r="K27" s="3"/>
      <c r="L27" s="8">
        <f t="shared" si="6"/>
        <v>-263.83271361538493</v>
      </c>
      <c r="M27" s="3"/>
      <c r="N27" s="7">
        <f t="shared" si="7"/>
        <v>-0.28386424294138135</v>
      </c>
      <c r="O27" s="12"/>
      <c r="P27" s="8">
        <v>10509.21</v>
      </c>
      <c r="Q27" s="3"/>
      <c r="R27" s="7">
        <f t="shared" si="8"/>
        <v>7.1776386703145373E-2</v>
      </c>
      <c r="S27" s="3"/>
      <c r="T27" s="8">
        <v>8448.6899158269298</v>
      </c>
      <c r="U27" s="3"/>
      <c r="V27" s="7">
        <f t="shared" si="9"/>
        <v>3.16750643565663E-2</v>
      </c>
      <c r="W27" s="3"/>
      <c r="X27" s="8">
        <f t="shared" si="10"/>
        <v>2060.5200841730693</v>
      </c>
      <c r="Y27" s="3"/>
      <c r="Z27" s="7">
        <f t="shared" si="11"/>
        <v>0.24388634269948734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179.21</v>
      </c>
      <c r="E28" s="3"/>
      <c r="F28" s="7">
        <f t="shared" si="4"/>
        <v>7.4131741134160619E-3</v>
      </c>
      <c r="G28" s="3"/>
      <c r="H28" s="8">
        <v>189.45707999999999</v>
      </c>
      <c r="I28" s="3"/>
      <c r="J28" s="7">
        <f t="shared" si="5"/>
        <v>4.0656025751072957E-3</v>
      </c>
      <c r="K28" s="3"/>
      <c r="L28" s="8">
        <f t="shared" si="6"/>
        <v>-10.247079999999983</v>
      </c>
      <c r="M28" s="3"/>
      <c r="N28" s="7">
        <f t="shared" si="7"/>
        <v>-5.4086550895854527E-2</v>
      </c>
      <c r="O28" s="12"/>
      <c r="P28" s="8">
        <v>2354.13</v>
      </c>
      <c r="Q28" s="3"/>
      <c r="R28" s="7">
        <f t="shared" si="8"/>
        <v>1.6078367948635115E-2</v>
      </c>
      <c r="S28" s="3"/>
      <c r="T28" s="8">
        <v>1728.7467300000001</v>
      </c>
      <c r="U28" s="3"/>
      <c r="V28" s="7">
        <f t="shared" si="9"/>
        <v>6.4812609380272184E-3</v>
      </c>
      <c r="W28" s="3"/>
      <c r="X28" s="8">
        <f t="shared" si="10"/>
        <v>625.38327000000004</v>
      </c>
      <c r="Y28" s="3"/>
      <c r="Z28" s="7">
        <f t="shared" si="11"/>
        <v>0.36175528731151962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1287</v>
      </c>
      <c r="E29" s="3"/>
      <c r="F29" s="7">
        <f t="shared" si="4"/>
        <v>5.3237849918902243E-2</v>
      </c>
      <c r="G29" s="3"/>
      <c r="H29" s="8">
        <v>1326</v>
      </c>
      <c r="I29" s="3"/>
      <c r="J29" s="7">
        <f t="shared" si="5"/>
        <v>2.8454935622317597E-2</v>
      </c>
      <c r="K29" s="3"/>
      <c r="L29" s="8">
        <f t="shared" si="6"/>
        <v>-39</v>
      </c>
      <c r="M29" s="3"/>
      <c r="N29" s="7">
        <f t="shared" si="7"/>
        <v>-2.9411764705882353E-2</v>
      </c>
      <c r="O29" s="12"/>
      <c r="P29" s="8">
        <v>20460.02</v>
      </c>
      <c r="Q29" s="3"/>
      <c r="R29" s="7">
        <f t="shared" si="8"/>
        <v>0.13973898204280708</v>
      </c>
      <c r="S29" s="3"/>
      <c r="T29" s="8">
        <v>15550.5</v>
      </c>
      <c r="U29" s="3"/>
      <c r="V29" s="7">
        <f t="shared" si="9"/>
        <v>5.8300528624451696E-2</v>
      </c>
      <c r="W29" s="3"/>
      <c r="X29" s="8">
        <f t="shared" si="10"/>
        <v>4909.5200000000004</v>
      </c>
      <c r="Y29" s="3"/>
      <c r="Z29" s="7">
        <f t="shared" si="11"/>
        <v>0.31571460724735539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31.48</v>
      </c>
      <c r="E30" s="3"/>
      <c r="F30" s="7">
        <f t="shared" si="4"/>
        <v>1.3021969816993338E-3</v>
      </c>
      <c r="G30" s="3"/>
      <c r="H30" s="8">
        <v>25.503837692307702</v>
      </c>
      <c r="I30" s="3"/>
      <c r="J30" s="7">
        <f t="shared" si="5"/>
        <v>5.4729265434136701E-4</v>
      </c>
      <c r="K30" s="3"/>
      <c r="L30" s="8">
        <f t="shared" si="6"/>
        <v>5.9761623076922987</v>
      </c>
      <c r="M30" s="3"/>
      <c r="N30" s="7">
        <f t="shared" si="7"/>
        <v>0.23432404094599416</v>
      </c>
      <c r="O30" s="12"/>
      <c r="P30" s="8">
        <v>413.56</v>
      </c>
      <c r="Q30" s="3"/>
      <c r="R30" s="7">
        <f t="shared" si="8"/>
        <v>2.8245550793021359E-3</v>
      </c>
      <c r="S30" s="3"/>
      <c r="T30" s="8">
        <v>232.715905961538</v>
      </c>
      <c r="U30" s="3"/>
      <c r="V30" s="7">
        <f t="shared" si="9"/>
        <v>8.7247743396520077E-4</v>
      </c>
      <c r="W30" s="3"/>
      <c r="X30" s="8">
        <f t="shared" si="10"/>
        <v>180.844094038462</v>
      </c>
      <c r="Y30" s="3"/>
      <c r="Z30" s="7">
        <f t="shared" si="11"/>
        <v>0.77710242147501052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811.71</v>
      </c>
      <c r="E31" s="3"/>
      <c r="F31" s="7">
        <f t="shared" si="4"/>
        <v>3.3577074714585972E-2</v>
      </c>
      <c r="G31" s="3"/>
      <c r="H31" s="8">
        <v>762.81007692307799</v>
      </c>
      <c r="I31" s="3"/>
      <c r="J31" s="7">
        <f t="shared" si="5"/>
        <v>1.6369314955430859E-2</v>
      </c>
      <c r="K31" s="3"/>
      <c r="L31" s="8">
        <f t="shared" si="6"/>
        <v>48.89992307692205</v>
      </c>
      <c r="M31" s="3"/>
      <c r="N31" s="7">
        <f t="shared" si="7"/>
        <v>6.410497783952733E-2</v>
      </c>
      <c r="O31" s="12"/>
      <c r="P31" s="8">
        <v>13291.83</v>
      </c>
      <c r="Q31" s="3"/>
      <c r="R31" s="7">
        <f t="shared" si="8"/>
        <v>9.0781279475095539E-2</v>
      </c>
      <c r="S31" s="3"/>
      <c r="T31" s="8">
        <v>8492.1816346153901</v>
      </c>
      <c r="U31" s="3"/>
      <c r="V31" s="7">
        <f t="shared" si="9"/>
        <v>3.1838119576408315E-2</v>
      </c>
      <c r="W31" s="3"/>
      <c r="X31" s="8">
        <f t="shared" si="10"/>
        <v>4799.6483653846099</v>
      </c>
      <c r="Y31" s="3"/>
      <c r="Z31" s="7">
        <f t="shared" si="11"/>
        <v>0.565184374509906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4"/>
        <v>0</v>
      </c>
      <c r="G32" s="3"/>
      <c r="H32" s="8">
        <v>0</v>
      </c>
      <c r="I32" s="3"/>
      <c r="J32" s="7">
        <f t="shared" si="5"/>
        <v>0</v>
      </c>
      <c r="K32" s="3"/>
      <c r="L32" s="8">
        <f t="shared" si="6"/>
        <v>0</v>
      </c>
      <c r="M32" s="3"/>
      <c r="N32" s="7">
        <f t="shared" si="7"/>
        <v>0</v>
      </c>
      <c r="O32" s="12"/>
      <c r="P32" s="8"/>
      <c r="Q32" s="3"/>
      <c r="R32" s="7">
        <f t="shared" si="8"/>
        <v>0</v>
      </c>
      <c r="S32" s="3"/>
      <c r="T32" s="8">
        <v>0</v>
      </c>
      <c r="U32" s="3"/>
      <c r="V32" s="7">
        <f t="shared" si="9"/>
        <v>0</v>
      </c>
      <c r="W32" s="3"/>
      <c r="X32" s="8">
        <f t="shared" si="10"/>
        <v>0</v>
      </c>
      <c r="Y32" s="3"/>
      <c r="Z32" s="7">
        <f t="shared" si="11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8">
        <v>640.52</v>
      </c>
      <c r="E33" s="3"/>
      <c r="F33" s="7">
        <f t="shared" si="4"/>
        <v>2.6495654724207663E-2</v>
      </c>
      <c r="G33" s="3"/>
      <c r="H33" s="8">
        <v>620.89192307692304</v>
      </c>
      <c r="I33" s="3"/>
      <c r="J33" s="7">
        <f t="shared" si="5"/>
        <v>1.3323861010234399E-2</v>
      </c>
      <c r="K33" s="3"/>
      <c r="L33" s="8">
        <f t="shared" si="6"/>
        <v>19.628076923076947</v>
      </c>
      <c r="M33" s="3"/>
      <c r="N33" s="7">
        <f t="shared" si="7"/>
        <v>3.1612710994543249E-2</v>
      </c>
      <c r="O33" s="12"/>
      <c r="P33" s="8">
        <v>6884.67</v>
      </c>
      <c r="Q33" s="3"/>
      <c r="R33" s="7">
        <f t="shared" si="8"/>
        <v>4.7021301909805198E-2</v>
      </c>
      <c r="S33" s="3"/>
      <c r="T33" s="8">
        <v>7546.2850961538397</v>
      </c>
      <c r="U33" s="3"/>
      <c r="V33" s="7">
        <f t="shared" si="9"/>
        <v>2.8291849796250289E-2</v>
      </c>
      <c r="W33" s="3"/>
      <c r="X33" s="8">
        <f t="shared" si="10"/>
        <v>-661.61509615383966</v>
      </c>
      <c r="Y33" s="3"/>
      <c r="Z33" s="7">
        <f t="shared" si="11"/>
        <v>-8.7674277836527675E-2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8">
        <v>411.06</v>
      </c>
      <c r="E34" s="3"/>
      <c r="F34" s="7">
        <f t="shared" si="4"/>
        <v>1.7003846610461504E-2</v>
      </c>
      <c r="G34" s="3"/>
      <c r="H34" s="8">
        <v>364.34053846153898</v>
      </c>
      <c r="I34" s="3"/>
      <c r="J34" s="7">
        <f t="shared" si="5"/>
        <v>7.818466490590965E-3</v>
      </c>
      <c r="K34" s="3"/>
      <c r="L34" s="8">
        <f t="shared" si="6"/>
        <v>46.719461538461019</v>
      </c>
      <c r="M34" s="3"/>
      <c r="N34" s="7">
        <f t="shared" si="7"/>
        <v>0.12823020390686743</v>
      </c>
      <c r="O34" s="12"/>
      <c r="P34" s="8">
        <v>5375.72</v>
      </c>
      <c r="Q34" s="3"/>
      <c r="R34" s="7">
        <f t="shared" si="8"/>
        <v>3.671539131179534E-2</v>
      </c>
      <c r="S34" s="3"/>
      <c r="T34" s="8">
        <v>3747.2090961538502</v>
      </c>
      <c r="U34" s="3"/>
      <c r="V34" s="7">
        <f t="shared" si="9"/>
        <v>1.4048697544910022E-2</v>
      </c>
      <c r="W34" s="3"/>
      <c r="X34" s="8">
        <f t="shared" si="10"/>
        <v>1628.5109038461501</v>
      </c>
      <c r="Y34" s="3"/>
      <c r="Z34" s="7">
        <f t="shared" si="11"/>
        <v>0.43459301631116876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8">
        <v>489.08</v>
      </c>
      <c r="E35" s="3"/>
      <c r="F35" s="7">
        <f t="shared" si="4"/>
        <v>2.0231210286197909E-2</v>
      </c>
      <c r="G35" s="3"/>
      <c r="H35" s="8">
        <v>350</v>
      </c>
      <c r="I35" s="3"/>
      <c r="J35" s="7">
        <f t="shared" si="5"/>
        <v>7.5107296137339056E-3</v>
      </c>
      <c r="K35" s="3"/>
      <c r="L35" s="8">
        <f t="shared" si="6"/>
        <v>139.07999999999998</v>
      </c>
      <c r="M35" s="3"/>
      <c r="N35" s="7">
        <f t="shared" si="7"/>
        <v>0.39737142857142854</v>
      </c>
      <c r="O35" s="12"/>
      <c r="P35" s="8">
        <v>3470.07</v>
      </c>
      <c r="Q35" s="3"/>
      <c r="R35" s="7">
        <f t="shared" si="8"/>
        <v>2.3700076999791962E-2</v>
      </c>
      <c r="S35" s="3"/>
      <c r="T35" s="8">
        <v>3675</v>
      </c>
      <c r="U35" s="3"/>
      <c r="V35" s="7">
        <f t="shared" si="9"/>
        <v>1.3777977730289057E-2</v>
      </c>
      <c r="W35" s="3"/>
      <c r="X35" s="8">
        <f t="shared" si="10"/>
        <v>-204.92999999999984</v>
      </c>
      <c r="Y35" s="3"/>
      <c r="Z35" s="7">
        <f t="shared" si="11"/>
        <v>-5.5763265306122405E-2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12026.04</v>
      </c>
      <c r="E36" s="2"/>
      <c r="F36" s="6">
        <f t="shared" si="4"/>
        <v>0.49746737578765748</v>
      </c>
      <c r="G36" s="2"/>
      <c r="H36" s="2">
        <f>SUM(OSRRefH22_1x_0)</f>
        <v>11394.22015384616</v>
      </c>
      <c r="I36" s="2"/>
      <c r="J36" s="6">
        <f t="shared" si="5"/>
        <v>0.244511162099703</v>
      </c>
      <c r="K36" s="2"/>
      <c r="L36" s="2">
        <f t="shared" si="6"/>
        <v>631.81984615384135</v>
      </c>
      <c r="M36" s="2"/>
      <c r="N36" s="6">
        <f t="shared" si="7"/>
        <v>5.5450907356794255E-2</v>
      </c>
      <c r="O36" s="14"/>
      <c r="P36" s="2">
        <f>SUM(OSRRefP22_1x_0)</f>
        <v>113199.14000000001</v>
      </c>
      <c r="Q36" s="2"/>
      <c r="R36" s="6">
        <f t="shared" si="8"/>
        <v>0.77313377952324602</v>
      </c>
      <c r="S36" s="2"/>
      <c r="T36" s="2">
        <f>SUM(OSRRefT22_1x_0)</f>
        <v>100331.01188461551</v>
      </c>
      <c r="U36" s="2"/>
      <c r="V36" s="6">
        <f t="shared" si="9"/>
        <v>0.37615195847716981</v>
      </c>
      <c r="W36" s="2"/>
      <c r="X36" s="2">
        <f t="shared" si="10"/>
        <v>12868.128115384505</v>
      </c>
      <c r="Y36" s="2"/>
      <c r="Z36" s="6">
        <f t="shared" si="11"/>
        <v>0.12825673611448615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8"/>
      <c r="E37" s="3"/>
      <c r="F37" s="7">
        <f t="shared" si="4"/>
        <v>0</v>
      </c>
      <c r="G37" s="3"/>
      <c r="H37" s="8">
        <v>0</v>
      </c>
      <c r="I37" s="3"/>
      <c r="J37" s="7">
        <f t="shared" si="5"/>
        <v>0</v>
      </c>
      <c r="K37" s="3"/>
      <c r="L37" s="8">
        <f t="shared" si="6"/>
        <v>0</v>
      </c>
      <c r="M37" s="3"/>
      <c r="N37" s="7">
        <f t="shared" si="7"/>
        <v>0</v>
      </c>
      <c r="O37" s="12"/>
      <c r="P37" s="8"/>
      <c r="Q37" s="3"/>
      <c r="R37" s="7">
        <f t="shared" si="8"/>
        <v>0</v>
      </c>
      <c r="S37" s="3"/>
      <c r="T37" s="8">
        <v>0</v>
      </c>
      <c r="U37" s="3"/>
      <c r="V37" s="7">
        <f t="shared" si="9"/>
        <v>0</v>
      </c>
      <c r="W37" s="3"/>
      <c r="X37" s="8">
        <f t="shared" si="10"/>
        <v>0</v>
      </c>
      <c r="Y37" s="3"/>
      <c r="Z37" s="7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8">
        <v>8912.0400000000009</v>
      </c>
      <c r="E38" s="3"/>
      <c r="F38" s="7">
        <f t="shared" si="4"/>
        <v>0.36865411654332059</v>
      </c>
      <c r="G38" s="3"/>
      <c r="H38" s="8">
        <v>7982.8961538461599</v>
      </c>
      <c r="I38" s="3"/>
      <c r="J38" s="7">
        <f t="shared" si="5"/>
        <v>0.17130678441729957</v>
      </c>
      <c r="K38" s="3"/>
      <c r="L38" s="8">
        <f t="shared" si="6"/>
        <v>929.14384615384097</v>
      </c>
      <c r="M38" s="3"/>
      <c r="N38" s="7">
        <f t="shared" si="7"/>
        <v>0.11639182425117474</v>
      </c>
      <c r="O38" s="12"/>
      <c r="P38" s="8">
        <v>93081.85</v>
      </c>
      <c r="Q38" s="3"/>
      <c r="R38" s="7">
        <f t="shared" si="8"/>
        <v>0.63573559388804424</v>
      </c>
      <c r="S38" s="3"/>
      <c r="T38" s="8">
        <v>87814.927884615507</v>
      </c>
      <c r="U38" s="3"/>
      <c r="V38" s="7">
        <f t="shared" si="9"/>
        <v>0.32922778796766583</v>
      </c>
      <c r="W38" s="3"/>
      <c r="X38" s="8">
        <f t="shared" si="10"/>
        <v>5266.9221153844992</v>
      </c>
      <c r="Y38" s="3"/>
      <c r="Z38" s="7">
        <f t="shared" si="11"/>
        <v>5.9977525943026175E-2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8"/>
      <c r="E39" s="3"/>
      <c r="F39" s="7">
        <f t="shared" si="4"/>
        <v>0</v>
      </c>
      <c r="G39" s="3"/>
      <c r="H39" s="8">
        <v>0</v>
      </c>
      <c r="I39" s="3"/>
      <c r="J39" s="7">
        <f t="shared" si="5"/>
        <v>0</v>
      </c>
      <c r="K39" s="3"/>
      <c r="L39" s="8">
        <f t="shared" si="6"/>
        <v>0</v>
      </c>
      <c r="M39" s="3"/>
      <c r="N39" s="7">
        <f t="shared" si="7"/>
        <v>0</v>
      </c>
      <c r="O39" s="12"/>
      <c r="P39" s="8"/>
      <c r="Q39" s="3"/>
      <c r="R39" s="7">
        <f t="shared" si="8"/>
        <v>0</v>
      </c>
      <c r="S39" s="3"/>
      <c r="T39" s="8">
        <v>0</v>
      </c>
      <c r="U39" s="3"/>
      <c r="V39" s="7">
        <f t="shared" si="9"/>
        <v>0</v>
      </c>
      <c r="W39" s="3"/>
      <c r="X39" s="8">
        <f t="shared" si="10"/>
        <v>0</v>
      </c>
      <c r="Y39" s="3"/>
      <c r="Z39" s="7">
        <f t="shared" si="11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8"/>
      <c r="E40" s="3"/>
      <c r="F40" s="7">
        <f t="shared" si="4"/>
        <v>0</v>
      </c>
      <c r="G40" s="3"/>
      <c r="H40" s="8">
        <v>2009.7</v>
      </c>
      <c r="I40" s="3"/>
      <c r="J40" s="7">
        <f t="shared" si="5"/>
        <v>4.3126609442060086E-2</v>
      </c>
      <c r="K40" s="3"/>
      <c r="L40" s="8">
        <f t="shared" si="6"/>
        <v>-2009.7</v>
      </c>
      <c r="M40" s="3"/>
      <c r="N40" s="7">
        <f t="shared" si="7"/>
        <v>-1</v>
      </c>
      <c r="O40" s="12"/>
      <c r="P40" s="8"/>
      <c r="Q40" s="3"/>
      <c r="R40" s="7">
        <f t="shared" si="8"/>
        <v>0</v>
      </c>
      <c r="S40" s="3"/>
      <c r="T40" s="8">
        <v>4365.8999999999996</v>
      </c>
      <c r="U40" s="3"/>
      <c r="V40" s="7">
        <f t="shared" si="9"/>
        <v>1.6368237543583398E-2</v>
      </c>
      <c r="W40" s="3"/>
      <c r="X40" s="8">
        <f t="shared" si="10"/>
        <v>-4365.8999999999996</v>
      </c>
      <c r="Y40" s="3"/>
      <c r="Z40" s="7">
        <f t="shared" si="11"/>
        <v>-1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8"/>
      <c r="E41" s="3"/>
      <c r="F41" s="7">
        <f t="shared" si="4"/>
        <v>0</v>
      </c>
      <c r="G41" s="3"/>
      <c r="H41" s="8">
        <v>0</v>
      </c>
      <c r="I41" s="3"/>
      <c r="J41" s="7">
        <f t="shared" si="5"/>
        <v>0</v>
      </c>
      <c r="K41" s="3"/>
      <c r="L41" s="8">
        <f t="shared" si="6"/>
        <v>0</v>
      </c>
      <c r="M41" s="3"/>
      <c r="N41" s="7">
        <f t="shared" si="7"/>
        <v>0</v>
      </c>
      <c r="O41" s="12"/>
      <c r="P41" s="8"/>
      <c r="Q41" s="3"/>
      <c r="R41" s="7">
        <f t="shared" si="8"/>
        <v>0</v>
      </c>
      <c r="S41" s="3"/>
      <c r="T41" s="8">
        <v>0</v>
      </c>
      <c r="U41" s="3"/>
      <c r="V41" s="7">
        <f t="shared" si="9"/>
        <v>0</v>
      </c>
      <c r="W41" s="3"/>
      <c r="X41" s="8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8">
        <v>3114</v>
      </c>
      <c r="E43" s="3"/>
      <c r="F43" s="7">
        <f t="shared" si="4"/>
        <v>0.1288132592443369</v>
      </c>
      <c r="G43" s="3"/>
      <c r="H43" s="8">
        <v>1401.624</v>
      </c>
      <c r="I43" s="3"/>
      <c r="J43" s="7">
        <f t="shared" si="5"/>
        <v>3.0077768240343347E-2</v>
      </c>
      <c r="K43" s="3"/>
      <c r="L43" s="8">
        <f t="shared" si="6"/>
        <v>1712.376</v>
      </c>
      <c r="M43" s="3"/>
      <c r="N43" s="7">
        <f t="shared" si="7"/>
        <v>1.221708532388144</v>
      </c>
      <c r="O43" s="12"/>
      <c r="P43" s="8">
        <v>20117.29</v>
      </c>
      <c r="Q43" s="3"/>
      <c r="R43" s="7">
        <f t="shared" si="8"/>
        <v>0.13739818563520184</v>
      </c>
      <c r="S43" s="3"/>
      <c r="T43" s="8">
        <v>7717.5839999999998</v>
      </c>
      <c r="U43" s="3"/>
      <c r="V43" s="7">
        <f t="shared" si="9"/>
        <v>2.8934068158812283E-2</v>
      </c>
      <c r="W43" s="3"/>
      <c r="X43" s="8">
        <f t="shared" si="10"/>
        <v>12399.706000000002</v>
      </c>
      <c r="Y43" s="3"/>
      <c r="Z43" s="7">
        <f t="shared" si="11"/>
        <v>1.6066823503313994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8"/>
      <c r="E44" s="3"/>
      <c r="F44" s="7">
        <f t="shared" si="4"/>
        <v>0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0</v>
      </c>
      <c r="M44" s="3"/>
      <c r="N44" s="7">
        <f t="shared" si="7"/>
        <v>0</v>
      </c>
      <c r="O44" s="12"/>
      <c r="P44" s="8"/>
      <c r="Q44" s="3"/>
      <c r="R44" s="7">
        <f t="shared" si="8"/>
        <v>0</v>
      </c>
      <c r="S44" s="3"/>
      <c r="T44" s="8">
        <v>432.6</v>
      </c>
      <c r="U44" s="3"/>
      <c r="V44" s="7">
        <f t="shared" si="9"/>
        <v>1.6218648071083118E-3</v>
      </c>
      <c r="W44" s="3"/>
      <c r="X44" s="8">
        <f t="shared" si="10"/>
        <v>-432.6</v>
      </c>
      <c r="Y44" s="3"/>
      <c r="Z44" s="7">
        <f t="shared" si="11"/>
        <v>-1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8"/>
      <c r="E45" s="3"/>
      <c r="F45" s="7">
        <f t="shared" si="4"/>
        <v>0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0</v>
      </c>
      <c r="M45" s="3"/>
      <c r="N45" s="7">
        <f t="shared" si="7"/>
        <v>0</v>
      </c>
      <c r="O45" s="12"/>
      <c r="P45" s="8"/>
      <c r="Q45" s="3"/>
      <c r="R45" s="7">
        <f t="shared" si="8"/>
        <v>0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0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8"/>
      <c r="E46" s="3"/>
      <c r="F46" s="7">
        <f t="shared" si="4"/>
        <v>0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0</v>
      </c>
      <c r="U46" s="3"/>
      <c r="V46" s="7">
        <f t="shared" si="9"/>
        <v>0</v>
      </c>
      <c r="W46" s="3"/>
      <c r="X46" s="8">
        <f t="shared" si="10"/>
        <v>0</v>
      </c>
      <c r="Y46" s="3"/>
      <c r="Z46" s="7">
        <f t="shared" si="11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10</v>
      </c>
      <c r="E47" s="2"/>
      <c r="F47" s="6">
        <f t="shared" si="4"/>
        <v>4.1365850752837796E-4</v>
      </c>
      <c r="G47" s="2"/>
      <c r="H47" s="2">
        <f>SUM(OSRRefH22_2x_0)</f>
        <v>50</v>
      </c>
      <c r="I47" s="2"/>
      <c r="J47" s="6">
        <f t="shared" si="5"/>
        <v>1.0729613733905579E-3</v>
      </c>
      <c r="K47" s="2"/>
      <c r="L47" s="2">
        <f t="shared" si="6"/>
        <v>-40</v>
      </c>
      <c r="M47" s="2"/>
      <c r="N47" s="6">
        <f t="shared" si="7"/>
        <v>-0.8</v>
      </c>
      <c r="O47" s="14"/>
      <c r="P47" s="2">
        <f>SUM(OSRRefP22_2x_0)</f>
        <v>151.85</v>
      </c>
      <c r="Q47" s="2"/>
      <c r="R47" s="6">
        <f t="shared" si="8"/>
        <v>1.037113571892904E-3</v>
      </c>
      <c r="S47" s="2"/>
      <c r="T47" s="2">
        <f>SUM(OSRRefT22_2x_0)</f>
        <v>400</v>
      </c>
      <c r="U47" s="2"/>
      <c r="V47" s="6">
        <f t="shared" si="9"/>
        <v>1.499643834589285E-3</v>
      </c>
      <c r="W47" s="2"/>
      <c r="X47" s="2">
        <f t="shared" si="10"/>
        <v>-248.15</v>
      </c>
      <c r="Y47" s="2"/>
      <c r="Z47" s="6">
        <f t="shared" si="11"/>
        <v>-0.62037500000000001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8">
        <v>10</v>
      </c>
      <c r="E48" s="3"/>
      <c r="F48" s="7">
        <f t="shared" si="4"/>
        <v>4.1365850752837796E-4</v>
      </c>
      <c r="G48" s="3"/>
      <c r="H48" s="8">
        <v>50</v>
      </c>
      <c r="I48" s="3"/>
      <c r="J48" s="7">
        <f t="shared" si="5"/>
        <v>1.0729613733905579E-3</v>
      </c>
      <c r="K48" s="3"/>
      <c r="L48" s="8">
        <f t="shared" si="6"/>
        <v>-40</v>
      </c>
      <c r="M48" s="3"/>
      <c r="N48" s="7">
        <f t="shared" si="7"/>
        <v>-0.8</v>
      </c>
      <c r="O48" s="12"/>
      <c r="P48" s="8">
        <v>151.85</v>
      </c>
      <c r="Q48" s="3"/>
      <c r="R48" s="7">
        <f t="shared" si="8"/>
        <v>1.037113571892904E-3</v>
      </c>
      <c r="S48" s="3"/>
      <c r="T48" s="8">
        <v>400</v>
      </c>
      <c r="U48" s="3"/>
      <c r="V48" s="7">
        <f t="shared" si="9"/>
        <v>1.499643834589285E-3</v>
      </c>
      <c r="W48" s="3"/>
      <c r="X48" s="8">
        <f t="shared" si="10"/>
        <v>-248.15</v>
      </c>
      <c r="Y48" s="3"/>
      <c r="Z48" s="7">
        <f t="shared" si="11"/>
        <v>-0.62037500000000001</v>
      </c>
    </row>
    <row r="49" spans="1:26" s="69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7.0272307258920849E-3</v>
      </c>
      <c r="G49" s="2"/>
      <c r="H49" s="2">
        <f>SUM(OSRRefH22_3x_0)</f>
        <v>170</v>
      </c>
      <c r="I49" s="2"/>
      <c r="J49" s="6">
        <f t="shared" si="5"/>
        <v>3.6480686695278971E-3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1359.04</v>
      </c>
      <c r="Q49" s="2"/>
      <c r="R49" s="6">
        <f t="shared" si="8"/>
        <v>9.2820469459686025E-3</v>
      </c>
      <c r="S49" s="2"/>
      <c r="T49" s="2">
        <f>SUM(OSRRefT22_3x_0)</f>
        <v>1360</v>
      </c>
      <c r="U49" s="2"/>
      <c r="V49" s="6">
        <f t="shared" si="9"/>
        <v>5.098789037603569E-3</v>
      </c>
      <c r="W49" s="2"/>
      <c r="X49" s="2">
        <f t="shared" si="10"/>
        <v>-0.96000000000003638</v>
      </c>
      <c r="Y49" s="2"/>
      <c r="Z49" s="6">
        <f t="shared" si="11"/>
        <v>-7.0588235294120319E-4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169.88</v>
      </c>
      <c r="E50" s="3"/>
      <c r="F50" s="7">
        <f t="shared" si="4"/>
        <v>7.0272307258920849E-3</v>
      </c>
      <c r="G50" s="3"/>
      <c r="H50" s="8">
        <v>170</v>
      </c>
      <c r="I50" s="3"/>
      <c r="J50" s="7">
        <f t="shared" si="5"/>
        <v>3.6480686695278971E-3</v>
      </c>
      <c r="K50" s="3"/>
      <c r="L50" s="8">
        <f t="shared" si="6"/>
        <v>-0.12000000000000455</v>
      </c>
      <c r="M50" s="3"/>
      <c r="N50" s="7">
        <f t="shared" si="7"/>
        <v>-7.0588235294120319E-4</v>
      </c>
      <c r="O50" s="12"/>
      <c r="P50" s="8">
        <v>1359.04</v>
      </c>
      <c r="Q50" s="3"/>
      <c r="R50" s="7">
        <f t="shared" si="8"/>
        <v>9.2820469459686025E-3</v>
      </c>
      <c r="S50" s="3"/>
      <c r="T50" s="8">
        <v>1360</v>
      </c>
      <c r="U50" s="3"/>
      <c r="V50" s="7">
        <f t="shared" si="9"/>
        <v>5.098789037603569E-3</v>
      </c>
      <c r="W50" s="3"/>
      <c r="X50" s="8">
        <f t="shared" si="10"/>
        <v>-0.96000000000003638</v>
      </c>
      <c r="Y50" s="3"/>
      <c r="Z50" s="7">
        <f t="shared" si="11"/>
        <v>-7.0588235294120319E-4</v>
      </c>
    </row>
    <row r="51" spans="1:26" s="69" customFormat="1" ht="15" customHeight="1" outlineLevel="1" collapsed="1" x14ac:dyDescent="0.3">
      <c r="A51" s="25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4.9872324301651366E-2</v>
      </c>
      <c r="G51" s="2"/>
      <c r="H51" s="2">
        <f>SUM(OSRRefH22_4x_0)</f>
        <v>1300</v>
      </c>
      <c r="I51" s="2"/>
      <c r="J51" s="6">
        <f t="shared" si="5"/>
        <v>2.7896995708154508E-2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9736.3799999999992</v>
      </c>
      <c r="Q51" s="2"/>
      <c r="R51" s="6">
        <f t="shared" si="8"/>
        <v>6.6498069404719334E-2</v>
      </c>
      <c r="S51" s="2"/>
      <c r="T51" s="2">
        <f>SUM(OSRRefT22_4x_0)</f>
        <v>10200</v>
      </c>
      <c r="U51" s="2"/>
      <c r="V51" s="6">
        <f t="shared" si="9"/>
        <v>3.8240917782026769E-2</v>
      </c>
      <c r="W51" s="2"/>
      <c r="X51" s="2">
        <f t="shared" si="10"/>
        <v>-463.6200000000008</v>
      </c>
      <c r="Y51" s="2"/>
      <c r="Z51" s="6">
        <f t="shared" si="11"/>
        <v>-4.5452941176470668E-2</v>
      </c>
    </row>
    <row r="52" spans="1:26" s="70" customFormat="1" ht="15" hidden="1" customHeight="1" outlineLevel="2" x14ac:dyDescent="0.3">
      <c r="A52" s="26"/>
      <c r="B52" s="12" t="str">
        <f>CONCATENATE("          ","6351"," - ","EQUIPMENT RENTAL")</f>
        <v xml:space="preserve">          6351 - EQUIPMENT RENTAL</v>
      </c>
      <c r="C52" s="12"/>
      <c r="D52" s="8">
        <v>1205.6400000000001</v>
      </c>
      <c r="E52" s="3"/>
      <c r="F52" s="7">
        <f t="shared" si="4"/>
        <v>4.9872324301651366E-2</v>
      </c>
      <c r="G52" s="3"/>
      <c r="H52" s="8">
        <v>1300</v>
      </c>
      <c r="I52" s="3"/>
      <c r="J52" s="7">
        <f t="shared" si="5"/>
        <v>2.7896995708154508E-2</v>
      </c>
      <c r="K52" s="3"/>
      <c r="L52" s="8">
        <f t="shared" si="6"/>
        <v>-94.3599999999999</v>
      </c>
      <c r="M52" s="3"/>
      <c r="N52" s="7">
        <f t="shared" si="7"/>
        <v>-7.2584615384615303E-2</v>
      </c>
      <c r="O52" s="12"/>
      <c r="P52" s="8">
        <v>9736.3799999999992</v>
      </c>
      <c r="Q52" s="3"/>
      <c r="R52" s="7">
        <f t="shared" si="8"/>
        <v>6.6498069404719334E-2</v>
      </c>
      <c r="S52" s="3"/>
      <c r="T52" s="8">
        <v>10200</v>
      </c>
      <c r="U52" s="3"/>
      <c r="V52" s="7">
        <f t="shared" si="9"/>
        <v>3.8240917782026769E-2</v>
      </c>
      <c r="W52" s="3"/>
      <c r="X52" s="8">
        <f t="shared" si="10"/>
        <v>-463.6200000000008</v>
      </c>
      <c r="Y52" s="3"/>
      <c r="Z52" s="7">
        <f t="shared" si="11"/>
        <v>-4.5452941176470668E-2</v>
      </c>
    </row>
    <row r="53" spans="1:26" s="69" customFormat="1" ht="15" customHeight="1" outlineLevel="1" collapsed="1" x14ac:dyDescent="0.3">
      <c r="A53" s="25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-7076.82</v>
      </c>
      <c r="E53" s="2"/>
      <c r="F53" s="6">
        <f t="shared" si="4"/>
        <v>-0.29273867992469754</v>
      </c>
      <c r="G53" s="2"/>
      <c r="H53" s="2">
        <f>SUM(OSRRefH22_5x_0)</f>
        <v>0</v>
      </c>
      <c r="I53" s="2"/>
      <c r="J53" s="6">
        <f t="shared" si="5"/>
        <v>0</v>
      </c>
      <c r="K53" s="2"/>
      <c r="L53" s="2">
        <f t="shared" si="6"/>
        <v>-7076.82</v>
      </c>
      <c r="M53" s="2"/>
      <c r="N53" s="6">
        <f t="shared" si="7"/>
        <v>0</v>
      </c>
      <c r="O53" s="14"/>
      <c r="P53" s="2">
        <f>SUM(OSRRefP22_5x_0)</f>
        <v>-64363.05</v>
      </c>
      <c r="Q53" s="2"/>
      <c r="R53" s="6">
        <f t="shared" si="8"/>
        <v>-0.43959033706566725</v>
      </c>
      <c r="S53" s="2"/>
      <c r="T53" s="2">
        <f>SUM(OSRRefT22_5x_0)</f>
        <v>-26700</v>
      </c>
      <c r="U53" s="2"/>
      <c r="V53" s="6">
        <f t="shared" si="9"/>
        <v>-0.10010122595883478</v>
      </c>
      <c r="W53" s="2"/>
      <c r="X53" s="2">
        <f t="shared" si="10"/>
        <v>-37663.050000000003</v>
      </c>
      <c r="Y53" s="2"/>
      <c r="Z53" s="6">
        <f t="shared" si="11"/>
        <v>1.4106011235955058</v>
      </c>
    </row>
    <row r="54" spans="1:26" s="70" customFormat="1" ht="15" hidden="1" customHeight="1" outlineLevel="2" x14ac:dyDescent="0.3">
      <c r="A54" s="26"/>
      <c r="B54" s="12" t="str">
        <f>CONCATENATE("          ","6305"," - ","FREIGHT OUT")</f>
        <v xml:space="preserve">          6305 - FREIGHT OUT</v>
      </c>
      <c r="C54" s="12"/>
      <c r="D54" s="8">
        <v>7594.99</v>
      </c>
      <c r="E54" s="3"/>
      <c r="F54" s="7">
        <f t="shared" si="4"/>
        <v>0.31417322280929555</v>
      </c>
      <c r="G54" s="3"/>
      <c r="H54" s="8">
        <v>22000</v>
      </c>
      <c r="I54" s="3"/>
      <c r="J54" s="7">
        <f t="shared" si="5"/>
        <v>0.47210300429184548</v>
      </c>
      <c r="K54" s="3"/>
      <c r="L54" s="8">
        <f t="shared" si="6"/>
        <v>-14405.01</v>
      </c>
      <c r="M54" s="3"/>
      <c r="N54" s="7">
        <f t="shared" si="7"/>
        <v>-0.65477318181818178</v>
      </c>
      <c r="O54" s="12"/>
      <c r="P54" s="8">
        <v>95215.99</v>
      </c>
      <c r="Q54" s="3"/>
      <c r="R54" s="7">
        <f t="shared" si="8"/>
        <v>0.6503114619046364</v>
      </c>
      <c r="S54" s="3"/>
      <c r="T54" s="8">
        <v>128300</v>
      </c>
      <c r="U54" s="3"/>
      <c r="V54" s="7">
        <f t="shared" si="9"/>
        <v>0.4810107599445132</v>
      </c>
      <c r="W54" s="3"/>
      <c r="X54" s="8">
        <f t="shared" si="10"/>
        <v>-33084.009999999995</v>
      </c>
      <c r="Y54" s="3"/>
      <c r="Z54" s="7">
        <f t="shared" si="11"/>
        <v>-0.2578644583008573</v>
      </c>
    </row>
    <row r="55" spans="1:26" s="70" customFormat="1" ht="15" hidden="1" customHeight="1" outlineLevel="2" x14ac:dyDescent="0.3">
      <c r="A55" s="26"/>
      <c r="B55" s="12" t="str">
        <f>CONCATENATE("          ","6307"," - ","POSTAGE")</f>
        <v xml:space="preserve">          6307 - POSTAGE</v>
      </c>
      <c r="C55" s="12"/>
      <c r="D55" s="8">
        <v>-14671.81</v>
      </c>
      <c r="E55" s="3"/>
      <c r="F55" s="7">
        <f t="shared" si="4"/>
        <v>-0.60691190273399309</v>
      </c>
      <c r="G55" s="3"/>
      <c r="H55" s="8">
        <v>-22000</v>
      </c>
      <c r="I55" s="3"/>
      <c r="J55" s="7">
        <f t="shared" si="5"/>
        <v>-0.47210300429184548</v>
      </c>
      <c r="K55" s="3"/>
      <c r="L55" s="8">
        <f t="shared" si="6"/>
        <v>7328.1900000000005</v>
      </c>
      <c r="M55" s="3"/>
      <c r="N55" s="7">
        <f t="shared" si="7"/>
        <v>-0.33309954545454545</v>
      </c>
      <c r="O55" s="12"/>
      <c r="P55" s="8">
        <v>-159579.04</v>
      </c>
      <c r="Q55" s="3"/>
      <c r="R55" s="7">
        <f t="shared" si="8"/>
        <v>-1.0899017989703037</v>
      </c>
      <c r="S55" s="3"/>
      <c r="T55" s="8">
        <v>-155000</v>
      </c>
      <c r="U55" s="3"/>
      <c r="V55" s="7">
        <f t="shared" si="9"/>
        <v>-0.58111198590334801</v>
      </c>
      <c r="W55" s="3"/>
      <c r="X55" s="8">
        <f t="shared" si="10"/>
        <v>-4579.0400000000081</v>
      </c>
      <c r="Y55" s="3"/>
      <c r="Z55" s="7">
        <f t="shared" si="11"/>
        <v>2.954219354838715E-2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6.236341142544686E-4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8"/>
      <c r="E57" s="3"/>
      <c r="F57" s="7">
        <f t="shared" si="4"/>
        <v>0</v>
      </c>
      <c r="G57" s="3"/>
      <c r="H57" s="8"/>
      <c r="I57" s="3"/>
      <c r="J57" s="7">
        <f t="shared" si="5"/>
        <v>0</v>
      </c>
      <c r="K57" s="3"/>
      <c r="L57" s="8">
        <f t="shared" si="6"/>
        <v>0</v>
      </c>
      <c r="M57" s="3"/>
      <c r="N57" s="7">
        <f t="shared" si="7"/>
        <v>0</v>
      </c>
      <c r="O57" s="12"/>
      <c r="P57" s="8">
        <v>91.31</v>
      </c>
      <c r="Q57" s="3"/>
      <c r="R57" s="7">
        <f t="shared" si="8"/>
        <v>6.236341142544686E-4</v>
      </c>
      <c r="S57" s="3"/>
      <c r="T57" s="8"/>
      <c r="U57" s="3"/>
      <c r="V57" s="7">
        <f t="shared" si="9"/>
        <v>0</v>
      </c>
      <c r="W57" s="3"/>
      <c r="X57" s="8">
        <f t="shared" si="10"/>
        <v>91.31</v>
      </c>
      <c r="Y57" s="3"/>
      <c r="Z57" s="7">
        <f t="shared" si="11"/>
        <v>0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2632.59</v>
      </c>
      <c r="E58" s="2"/>
      <c r="F58" s="6">
        <f t="shared" si="4"/>
        <v>0.10889932503341326</v>
      </c>
      <c r="G58" s="2"/>
      <c r="H58" s="2">
        <f>SUM(OSRRefH22_7x_0)</f>
        <v>10000</v>
      </c>
      <c r="I58" s="2"/>
      <c r="J58" s="6">
        <f t="shared" si="5"/>
        <v>0.21459227467811159</v>
      </c>
      <c r="K58" s="2"/>
      <c r="L58" s="2">
        <f t="shared" si="6"/>
        <v>-7367.41</v>
      </c>
      <c r="M58" s="2"/>
      <c r="N58" s="6">
        <f t="shared" si="7"/>
        <v>-0.73674099999999998</v>
      </c>
      <c r="O58" s="14"/>
      <c r="P58" s="2">
        <f>SUM(OSRRefP22_7x_0)</f>
        <v>23371.42</v>
      </c>
      <c r="Q58" s="2"/>
      <c r="R58" s="6">
        <f t="shared" si="8"/>
        <v>0.15962342361810505</v>
      </c>
      <c r="S58" s="2"/>
      <c r="T58" s="2">
        <f>SUM(OSRRefT22_7x_0)</f>
        <v>43700</v>
      </c>
      <c r="U58" s="2"/>
      <c r="V58" s="6">
        <f t="shared" si="9"/>
        <v>0.16383608892887938</v>
      </c>
      <c r="W58" s="2"/>
      <c r="X58" s="2">
        <f t="shared" si="10"/>
        <v>-20328.580000000002</v>
      </c>
      <c r="Y58" s="2"/>
      <c r="Z58" s="6">
        <f t="shared" si="11"/>
        <v>-0.46518489702517168</v>
      </c>
    </row>
    <row r="59" spans="1:26" s="70" customFormat="1" ht="15" hidden="1" customHeight="1" outlineLevel="2" x14ac:dyDescent="0.3">
      <c r="A59" s="26"/>
      <c r="B59" s="12" t="str">
        <f>CONCATENATE("          ","6371"," - ","COMPUTER SOFTWARE MAINTENANCE")</f>
        <v xml:space="preserve">          6371 - COMPUTER SOFTWARE MAINTENANCE</v>
      </c>
      <c r="C59" s="12"/>
      <c r="D59" s="8"/>
      <c r="E59" s="3"/>
      <c r="F59" s="7">
        <f t="shared" si="4"/>
        <v>0</v>
      </c>
      <c r="G59" s="3"/>
      <c r="H59" s="8"/>
      <c r="I59" s="3"/>
      <c r="J59" s="7">
        <f t="shared" si="5"/>
        <v>0</v>
      </c>
      <c r="K59" s="3"/>
      <c r="L59" s="8">
        <f t="shared" si="6"/>
        <v>0</v>
      </c>
      <c r="M59" s="3"/>
      <c r="N59" s="7">
        <f t="shared" si="7"/>
        <v>0</v>
      </c>
      <c r="O59" s="12"/>
      <c r="P59" s="8"/>
      <c r="Q59" s="3"/>
      <c r="R59" s="7">
        <f t="shared" si="8"/>
        <v>0</v>
      </c>
      <c r="S59" s="3"/>
      <c r="T59" s="8">
        <v>100</v>
      </c>
      <c r="U59" s="3"/>
      <c r="V59" s="7">
        <f t="shared" si="9"/>
        <v>3.7491095864732125E-4</v>
      </c>
      <c r="W59" s="3"/>
      <c r="X59" s="8">
        <f t="shared" si="10"/>
        <v>-100</v>
      </c>
      <c r="Y59" s="3"/>
      <c r="Z59" s="7">
        <f t="shared" si="11"/>
        <v>-1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8">
        <v>749.09</v>
      </c>
      <c r="E60" s="3"/>
      <c r="F60" s="7">
        <f t="shared" si="4"/>
        <v>3.0986745140443268E-2</v>
      </c>
      <c r="G60" s="3"/>
      <c r="H60" s="8">
        <v>10000</v>
      </c>
      <c r="I60" s="3"/>
      <c r="J60" s="7">
        <f t="shared" si="5"/>
        <v>0.21459227467811159</v>
      </c>
      <c r="K60" s="3"/>
      <c r="L60" s="8">
        <f t="shared" si="6"/>
        <v>-9250.91</v>
      </c>
      <c r="M60" s="3"/>
      <c r="N60" s="7">
        <f t="shared" si="7"/>
        <v>-0.925091</v>
      </c>
      <c r="O60" s="12"/>
      <c r="P60" s="8">
        <v>7513.27</v>
      </c>
      <c r="Q60" s="3"/>
      <c r="R60" s="7">
        <f t="shared" si="8"/>
        <v>5.1314549135961798E-2</v>
      </c>
      <c r="S60" s="3"/>
      <c r="T60" s="8">
        <v>43600</v>
      </c>
      <c r="U60" s="3"/>
      <c r="V60" s="7">
        <f t="shared" si="9"/>
        <v>0.16346117797023207</v>
      </c>
      <c r="W60" s="3"/>
      <c r="X60" s="8">
        <f t="shared" si="10"/>
        <v>-36086.729999999996</v>
      </c>
      <c r="Y60" s="3"/>
      <c r="Z60" s="7">
        <f t="shared" si="11"/>
        <v>-0.82767729357798159</v>
      </c>
    </row>
    <row r="61" spans="1:26" s="70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8">
        <v>1883.5</v>
      </c>
      <c r="E61" s="3"/>
      <c r="F61" s="7">
        <f t="shared" si="4"/>
        <v>7.7912579892969985E-2</v>
      </c>
      <c r="G61" s="3"/>
      <c r="H61" s="8"/>
      <c r="I61" s="3"/>
      <c r="J61" s="7">
        <f t="shared" si="5"/>
        <v>0</v>
      </c>
      <c r="K61" s="3"/>
      <c r="L61" s="8">
        <f t="shared" si="6"/>
        <v>1883.5</v>
      </c>
      <c r="M61" s="3"/>
      <c r="N61" s="7">
        <f t="shared" si="7"/>
        <v>0</v>
      </c>
      <c r="O61" s="12"/>
      <c r="P61" s="8">
        <v>15858.15</v>
      </c>
      <c r="Q61" s="3"/>
      <c r="R61" s="7">
        <f t="shared" si="8"/>
        <v>0.10830887448214327</v>
      </c>
      <c r="S61" s="3"/>
      <c r="T61" s="8"/>
      <c r="U61" s="3"/>
      <c r="V61" s="7">
        <f t="shared" si="9"/>
        <v>0</v>
      </c>
      <c r="W61" s="3"/>
      <c r="X61" s="8">
        <f t="shared" si="10"/>
        <v>15858.15</v>
      </c>
      <c r="Y61" s="3"/>
      <c r="Z61" s="7">
        <f t="shared" si="11"/>
        <v>0</v>
      </c>
    </row>
    <row r="62" spans="1:26" s="69" customFormat="1" ht="15" customHeight="1" outlineLevel="1" collapsed="1" x14ac:dyDescent="0.3">
      <c r="A62" s="25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1634.9</v>
      </c>
      <c r="E62" s="2"/>
      <c r="F62" s="6">
        <f t="shared" si="4"/>
        <v>6.7629029395814513E-2</v>
      </c>
      <c r="G62" s="2"/>
      <c r="H62" s="2">
        <f>SUM(OSRRefH22_8x_0)</f>
        <v>4000</v>
      </c>
      <c r="I62" s="2"/>
      <c r="J62" s="6">
        <f t="shared" si="5"/>
        <v>8.5836909871244635E-2</v>
      </c>
      <c r="K62" s="2"/>
      <c r="L62" s="2">
        <f t="shared" si="6"/>
        <v>-2365.1</v>
      </c>
      <c r="M62" s="2"/>
      <c r="N62" s="6">
        <f t="shared" si="7"/>
        <v>-0.591275</v>
      </c>
      <c r="O62" s="14"/>
      <c r="P62" s="2">
        <f>SUM(OSRRefP22_8x_0)</f>
        <v>7503.48</v>
      </c>
      <c r="Q62" s="2"/>
      <c r="R62" s="6">
        <f t="shared" si="8"/>
        <v>5.1247684849700145E-2</v>
      </c>
      <c r="S62" s="2"/>
      <c r="T62" s="2">
        <f>SUM(OSRRefT22_8x_0)</f>
        <v>32700</v>
      </c>
      <c r="U62" s="2"/>
      <c r="V62" s="6">
        <f t="shared" si="9"/>
        <v>0.12259588347767406</v>
      </c>
      <c r="W62" s="2"/>
      <c r="X62" s="2">
        <f t="shared" si="10"/>
        <v>-25196.52</v>
      </c>
      <c r="Y62" s="2"/>
      <c r="Z62" s="6">
        <f t="shared" si="11"/>
        <v>-0.77053577981651378</v>
      </c>
    </row>
    <row r="63" spans="1:26" s="70" customFormat="1" ht="15" hidden="1" customHeight="1" outlineLevel="2" x14ac:dyDescent="0.3">
      <c r="A63" s="26"/>
      <c r="B63" s="12" t="str">
        <f>CONCATENATE("          ","6259"," - ","ROYALTY &amp; COMMISSIONS")</f>
        <v xml:space="preserve">          6259 - ROYALTY &amp; COMMISSIONS</v>
      </c>
      <c r="C63" s="12"/>
      <c r="D63" s="8">
        <v>1634.9</v>
      </c>
      <c r="E63" s="3"/>
      <c r="F63" s="7">
        <f t="shared" si="4"/>
        <v>6.7629029395814513E-2</v>
      </c>
      <c r="G63" s="3"/>
      <c r="H63" s="8">
        <v>4000</v>
      </c>
      <c r="I63" s="3"/>
      <c r="J63" s="7">
        <f t="shared" si="5"/>
        <v>8.5836909871244635E-2</v>
      </c>
      <c r="K63" s="3"/>
      <c r="L63" s="8">
        <f t="shared" si="6"/>
        <v>-2365.1</v>
      </c>
      <c r="M63" s="3"/>
      <c r="N63" s="7">
        <f t="shared" si="7"/>
        <v>-0.591275</v>
      </c>
      <c r="O63" s="12"/>
      <c r="P63" s="8">
        <v>7503.48</v>
      </c>
      <c r="Q63" s="3"/>
      <c r="R63" s="7">
        <f t="shared" si="8"/>
        <v>5.1247684849700145E-2</v>
      </c>
      <c r="S63" s="3"/>
      <c r="T63" s="8">
        <v>32700</v>
      </c>
      <c r="U63" s="3"/>
      <c r="V63" s="7">
        <f t="shared" si="9"/>
        <v>0.12259588347767406</v>
      </c>
      <c r="W63" s="3"/>
      <c r="X63" s="8">
        <f t="shared" si="10"/>
        <v>-25196.52</v>
      </c>
      <c r="Y63" s="3"/>
      <c r="Z63" s="7">
        <f t="shared" si="11"/>
        <v>-0.77053577981651378</v>
      </c>
    </row>
    <row r="64" spans="1:26" s="69" customFormat="1" ht="15" customHeight="1" outlineLevel="1" collapsed="1" x14ac:dyDescent="0.3">
      <c r="A64" s="25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SUM(OSRRefD22_9x_0)</f>
        <v>5674.86</v>
      </c>
      <c r="E64" s="2"/>
      <c r="F64" s="6">
        <f t="shared" si="4"/>
        <v>0.23474541180324909</v>
      </c>
      <c r="G64" s="2"/>
      <c r="H64" s="2">
        <f>SUM(OSRRefH22_9x_0)</f>
        <v>5950</v>
      </c>
      <c r="I64" s="2"/>
      <c r="J64" s="6">
        <f t="shared" si="5"/>
        <v>0.12768240343347639</v>
      </c>
      <c r="K64" s="2"/>
      <c r="L64" s="2">
        <f t="shared" si="6"/>
        <v>-275.14000000000033</v>
      </c>
      <c r="M64" s="2"/>
      <c r="N64" s="6">
        <f t="shared" si="7"/>
        <v>-4.6242016806722741E-2</v>
      </c>
      <c r="O64" s="14"/>
      <c r="P64" s="2">
        <f>SUM(OSRRefP22_9x_0)</f>
        <v>28292.78</v>
      </c>
      <c r="Q64" s="2"/>
      <c r="R64" s="6">
        <f t="shared" si="8"/>
        <v>0.19323560174237811</v>
      </c>
      <c r="S64" s="2"/>
      <c r="T64" s="2">
        <f>SUM(OSRRefT22_9x_0)</f>
        <v>39500</v>
      </c>
      <c r="U64" s="2"/>
      <c r="V64" s="6">
        <f t="shared" si="9"/>
        <v>0.1480898286656919</v>
      </c>
      <c r="W64" s="2"/>
      <c r="X64" s="2">
        <f t="shared" si="10"/>
        <v>-11207.220000000001</v>
      </c>
      <c r="Y64" s="2"/>
      <c r="Z64" s="6">
        <f t="shared" si="11"/>
        <v>-0.28372708860759499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>
        <v>3295.15</v>
      </c>
      <c r="E65" s="3"/>
      <c r="F65" s="7">
        <f t="shared" si="4"/>
        <v>0.13630668310821348</v>
      </c>
      <c r="G65" s="3"/>
      <c r="H65" s="8">
        <v>50</v>
      </c>
      <c r="I65" s="3"/>
      <c r="J65" s="7">
        <f t="shared" si="5"/>
        <v>1.0729613733905579E-3</v>
      </c>
      <c r="K65" s="3"/>
      <c r="L65" s="8">
        <f t="shared" si="6"/>
        <v>3245.15</v>
      </c>
      <c r="M65" s="3"/>
      <c r="N65" s="7">
        <f t="shared" si="7"/>
        <v>64.903000000000006</v>
      </c>
      <c r="O65" s="12"/>
      <c r="P65" s="8">
        <v>8157.46</v>
      </c>
      <c r="Q65" s="3"/>
      <c r="R65" s="7">
        <f t="shared" si="8"/>
        <v>5.5714273810823105E-2</v>
      </c>
      <c r="S65" s="3"/>
      <c r="T65" s="8">
        <v>50</v>
      </c>
      <c r="U65" s="3"/>
      <c r="V65" s="7">
        <f t="shared" si="9"/>
        <v>1.8745547932366062E-4</v>
      </c>
      <c r="W65" s="3"/>
      <c r="X65" s="8">
        <f t="shared" si="10"/>
        <v>8107.46</v>
      </c>
      <c r="Y65" s="3"/>
      <c r="Z65" s="7">
        <f t="shared" si="11"/>
        <v>162.14920000000001</v>
      </c>
    </row>
    <row r="66" spans="1:26" s="70" customFormat="1" ht="15" hidden="1" customHeight="1" outlineLevel="2" x14ac:dyDescent="0.3">
      <c r="A66" s="26"/>
      <c r="B66" s="12" t="str">
        <f>CONCATENATE("          ","6243"," - ","PAPER SUPPLIES")</f>
        <v xml:space="preserve">          6243 - PAPER SUPPLIES</v>
      </c>
      <c r="C66" s="12"/>
      <c r="D66" s="8">
        <v>1072.69</v>
      </c>
      <c r="E66" s="3"/>
      <c r="F66" s="7">
        <f t="shared" si="4"/>
        <v>4.4372734444061576E-2</v>
      </c>
      <c r="G66" s="3"/>
      <c r="H66" s="8">
        <v>3800</v>
      </c>
      <c r="I66" s="3"/>
      <c r="J66" s="7">
        <f t="shared" si="5"/>
        <v>8.15450643776824E-2</v>
      </c>
      <c r="K66" s="3"/>
      <c r="L66" s="8">
        <f t="shared" si="6"/>
        <v>-2727.31</v>
      </c>
      <c r="M66" s="3"/>
      <c r="N66" s="7">
        <f t="shared" si="7"/>
        <v>-0.71771315789473678</v>
      </c>
      <c r="O66" s="12"/>
      <c r="P66" s="8">
        <v>5621.93</v>
      </c>
      <c r="Q66" s="3"/>
      <c r="R66" s="7">
        <f t="shared" si="8"/>
        <v>3.8396970057503282E-2</v>
      </c>
      <c r="S66" s="3"/>
      <c r="T66" s="8">
        <v>30200</v>
      </c>
      <c r="U66" s="3"/>
      <c r="V66" s="7">
        <f t="shared" si="9"/>
        <v>0.11322310951149102</v>
      </c>
      <c r="W66" s="3"/>
      <c r="X66" s="8">
        <f t="shared" si="10"/>
        <v>-24578.07</v>
      </c>
      <c r="Y66" s="3"/>
      <c r="Z66" s="7">
        <f t="shared" si="11"/>
        <v>-0.81384337748344371</v>
      </c>
    </row>
    <row r="67" spans="1:26" s="70" customFormat="1" ht="15" hidden="1" customHeight="1" outlineLevel="2" x14ac:dyDescent="0.3">
      <c r="A67" s="26"/>
      <c r="B67" s="12" t="str">
        <f>CONCATENATE("          ","6245"," - ","PRINTING")</f>
        <v xml:space="preserve">          6245 - PRINTING</v>
      </c>
      <c r="C67" s="12"/>
      <c r="D67" s="8">
        <v>502.78</v>
      </c>
      <c r="E67" s="3"/>
      <c r="F67" s="7">
        <f t="shared" si="4"/>
        <v>2.0797922441511785E-2</v>
      </c>
      <c r="G67" s="3"/>
      <c r="H67" s="8">
        <v>1600</v>
      </c>
      <c r="I67" s="3"/>
      <c r="J67" s="7">
        <f t="shared" si="5"/>
        <v>3.4334763948497854E-2</v>
      </c>
      <c r="K67" s="3"/>
      <c r="L67" s="8">
        <f t="shared" si="6"/>
        <v>-1097.22</v>
      </c>
      <c r="M67" s="3"/>
      <c r="N67" s="7">
        <f t="shared" si="7"/>
        <v>-0.68576250000000005</v>
      </c>
      <c r="O67" s="12"/>
      <c r="P67" s="8">
        <v>1661.33</v>
      </c>
      <c r="Q67" s="3"/>
      <c r="R67" s="7">
        <f t="shared" si="8"/>
        <v>1.134664399336739E-2</v>
      </c>
      <c r="S67" s="3"/>
      <c r="T67" s="8">
        <v>7495</v>
      </c>
      <c r="U67" s="3"/>
      <c r="V67" s="7">
        <f t="shared" si="9"/>
        <v>2.8099576350616728E-2</v>
      </c>
      <c r="W67" s="3"/>
      <c r="X67" s="8">
        <f t="shared" si="10"/>
        <v>-5833.67</v>
      </c>
      <c r="Y67" s="3"/>
      <c r="Z67" s="7">
        <f t="shared" si="11"/>
        <v>-0.77834156104069385</v>
      </c>
    </row>
    <row r="68" spans="1:26" s="70" customFormat="1" ht="15" hidden="1" customHeight="1" outlineLevel="2" x14ac:dyDescent="0.3">
      <c r="A68" s="26"/>
      <c r="B68" s="12" t="str">
        <f>CONCATENATE("          ","6247"," - ","STORE SUPPLIES")</f>
        <v xml:space="preserve">          6247 - STORE SUPPLIES</v>
      </c>
      <c r="C68" s="12"/>
      <c r="D68" s="8">
        <v>804.24</v>
      </c>
      <c r="E68" s="3"/>
      <c r="F68" s="7">
        <f t="shared" si="4"/>
        <v>3.3268071809462271E-2</v>
      </c>
      <c r="G68" s="3"/>
      <c r="H68" s="8">
        <v>500</v>
      </c>
      <c r="I68" s="3"/>
      <c r="J68" s="7">
        <f t="shared" si="5"/>
        <v>1.0729613733905579E-2</v>
      </c>
      <c r="K68" s="3"/>
      <c r="L68" s="8">
        <f t="shared" si="6"/>
        <v>304.24</v>
      </c>
      <c r="M68" s="3"/>
      <c r="N68" s="7">
        <f t="shared" si="7"/>
        <v>0.60848000000000002</v>
      </c>
      <c r="O68" s="12"/>
      <c r="P68" s="8">
        <v>12852.06</v>
      </c>
      <c r="Q68" s="3"/>
      <c r="R68" s="7">
        <f t="shared" si="8"/>
        <v>8.7777713880684324E-2</v>
      </c>
      <c r="S68" s="3"/>
      <c r="T68" s="8">
        <v>1755</v>
      </c>
      <c r="U68" s="3"/>
      <c r="V68" s="7">
        <f t="shared" si="9"/>
        <v>6.5796873242604881E-3</v>
      </c>
      <c r="W68" s="3"/>
      <c r="X68" s="8">
        <f t="shared" si="10"/>
        <v>11097.06</v>
      </c>
      <c r="Y68" s="3"/>
      <c r="Z68" s="7">
        <f t="shared" si="11"/>
        <v>6.3231111111111105</v>
      </c>
    </row>
    <row r="69" spans="1:26" s="69" customFormat="1" ht="15" customHeight="1" outlineLevel="1" collapsed="1" x14ac:dyDescent="0.3">
      <c r="A69" s="25"/>
      <c r="B69" s="14" t="str">
        <f>CONCATENATE("     ","Telephone/Data Lines                              ")</f>
        <v xml:space="preserve">     Telephone/Data Lines                              </v>
      </c>
      <c r="C69" s="14"/>
      <c r="D69" s="2">
        <f>SUM(OSRRefD22_10x_0)</f>
        <v>143.55000000000001</v>
      </c>
      <c r="E69" s="2"/>
      <c r="F69" s="6">
        <f t="shared" si="4"/>
        <v>5.9380678755698657E-3</v>
      </c>
      <c r="G69" s="2"/>
      <c r="H69" s="2">
        <f>SUM(OSRRefH22_10x_0)</f>
        <v>175</v>
      </c>
      <c r="I69" s="2"/>
      <c r="J69" s="6">
        <f t="shared" si="5"/>
        <v>3.7553648068669528E-3</v>
      </c>
      <c r="K69" s="2"/>
      <c r="L69" s="2">
        <f t="shared" si="6"/>
        <v>-31.449999999999989</v>
      </c>
      <c r="M69" s="2"/>
      <c r="N69" s="6">
        <f t="shared" si="7"/>
        <v>-0.17971428571428566</v>
      </c>
      <c r="O69" s="14"/>
      <c r="P69" s="2">
        <f>SUM(OSRRefP22_10x_0)</f>
        <v>884.4</v>
      </c>
      <c r="Q69" s="2"/>
      <c r="R69" s="6">
        <f t="shared" si="8"/>
        <v>6.0403242870074696E-3</v>
      </c>
      <c r="S69" s="2"/>
      <c r="T69" s="2">
        <f>SUM(OSRRefT22_10x_0)</f>
        <v>1400</v>
      </c>
      <c r="U69" s="2"/>
      <c r="V69" s="6">
        <f t="shared" si="9"/>
        <v>5.2487534210624975E-3</v>
      </c>
      <c r="W69" s="2"/>
      <c r="X69" s="2">
        <f t="shared" si="10"/>
        <v>-515.6</v>
      </c>
      <c r="Y69" s="2"/>
      <c r="Z69" s="6">
        <f t="shared" si="11"/>
        <v>-0.36828571428571433</v>
      </c>
    </row>
    <row r="70" spans="1:26" s="70" customFormat="1" ht="15" hidden="1" customHeight="1" outlineLevel="2" x14ac:dyDescent="0.3">
      <c r="A70" s="26"/>
      <c r="B70" s="12" t="str">
        <f>CONCATENATE("          ","6309"," - ","TELEPHONE")</f>
        <v xml:space="preserve">          6309 - TELEPHONE</v>
      </c>
      <c r="C70" s="12"/>
      <c r="D70" s="8">
        <v>143.55000000000001</v>
      </c>
      <c r="E70" s="3"/>
      <c r="F70" s="7">
        <f t="shared" si="4"/>
        <v>5.9380678755698657E-3</v>
      </c>
      <c r="G70" s="3"/>
      <c r="H70" s="8">
        <v>175</v>
      </c>
      <c r="I70" s="3"/>
      <c r="J70" s="7">
        <f t="shared" si="5"/>
        <v>3.7553648068669528E-3</v>
      </c>
      <c r="K70" s="3"/>
      <c r="L70" s="8">
        <f t="shared" si="6"/>
        <v>-31.449999999999989</v>
      </c>
      <c r="M70" s="3"/>
      <c r="N70" s="7">
        <f t="shared" si="7"/>
        <v>-0.17971428571428566</v>
      </c>
      <c r="O70" s="12"/>
      <c r="P70" s="8">
        <v>884.4</v>
      </c>
      <c r="Q70" s="3"/>
      <c r="R70" s="7">
        <f t="shared" si="8"/>
        <v>6.0403242870074696E-3</v>
      </c>
      <c r="S70" s="3"/>
      <c r="T70" s="8">
        <v>1400</v>
      </c>
      <c r="U70" s="3"/>
      <c r="V70" s="7">
        <f t="shared" si="9"/>
        <v>5.2487534210624975E-3</v>
      </c>
      <c r="W70" s="3"/>
      <c r="X70" s="8">
        <f t="shared" si="10"/>
        <v>-515.6</v>
      </c>
      <c r="Y70" s="3"/>
      <c r="Z70" s="7">
        <f t="shared" si="11"/>
        <v>-0.36828571428571433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7" t="s">
        <v>291</v>
      </c>
      <c r="C72" s="11"/>
      <c r="D72" s="5">
        <f>SUM(OSRRefD25x_0)</f>
        <v>0</v>
      </c>
      <c r="E72" s="5"/>
      <c r="F72" s="13">
        <f>IF(D$12=0,0,D72/D$12)</f>
        <v>0</v>
      </c>
      <c r="G72" s="5"/>
      <c r="H72" s="5">
        <f>SUM(OSRRefH25x_0)</f>
        <v>0</v>
      </c>
      <c r="I72" s="5"/>
      <c r="J72" s="13">
        <f>IF(H$12=0,0,H72/H$12)</f>
        <v>0</v>
      </c>
      <c r="K72" s="5"/>
      <c r="L72" s="5">
        <f>+D72-H72</f>
        <v>0</v>
      </c>
      <c r="M72" s="5"/>
      <c r="N72" s="13">
        <f>IF(H72=0,0,L72/H72)</f>
        <v>0</v>
      </c>
      <c r="O72" s="11"/>
      <c r="P72" s="5">
        <f>SUM(OSRRefP25x_0)</f>
        <v>15135.44</v>
      </c>
      <c r="Q72" s="5"/>
      <c r="R72" s="13">
        <f>IF(P$12=0,0,P72/P$12)</f>
        <v>0.10337286954607004</v>
      </c>
      <c r="S72" s="5"/>
      <c r="T72" s="5">
        <f>SUM(OSRRefT25x_0)</f>
        <v>33910</v>
      </c>
      <c r="U72" s="5"/>
      <c r="V72" s="13">
        <f>IF(T$12=0,0,T72/T$12)</f>
        <v>0.12713230607730663</v>
      </c>
      <c r="W72" s="5"/>
      <c r="X72" s="5">
        <f>+P72-T72</f>
        <v>-18774.559999999998</v>
      </c>
      <c r="Y72" s="5"/>
      <c r="Z72" s="13">
        <f>IF(T72=0,0,X72/T72)</f>
        <v>-0.55365850781480386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0</f>
        <v>0</v>
      </c>
      <c r="E73" s="3"/>
      <c r="F73" s="20">
        <f>IF(D$12=0,0,D73/D$12)</f>
        <v>0</v>
      </c>
      <c r="G73" s="3"/>
      <c r="H73" s="3"/>
      <c r="I73" s="3"/>
      <c r="J73" s="20">
        <f>IF(H$12=0,0,H73/H$12)</f>
        <v>0</v>
      </c>
      <c r="K73" s="3"/>
      <c r="L73" s="3">
        <f>+D73-H73</f>
        <v>0</v>
      </c>
      <c r="M73" s="3"/>
      <c r="N73" s="20">
        <f>IF(H73=0,0,L73/H73)</f>
        <v>0</v>
      </c>
      <c r="O73" s="12"/>
      <c r="P73" s="3">
        <f>--15135.44</f>
        <v>15135.44</v>
      </c>
      <c r="Q73" s="3"/>
      <c r="R73" s="20">
        <f>IF(P$12=0,0,P73/P$12)</f>
        <v>0.10337286954607004</v>
      </c>
      <c r="S73" s="3"/>
      <c r="T73" s="3">
        <v>33910</v>
      </c>
      <c r="U73" s="3"/>
      <c r="V73" s="20">
        <f>IF(T$12=0,0,T73/T$12)</f>
        <v>0.12713230607730663</v>
      </c>
      <c r="W73" s="3"/>
      <c r="X73" s="3">
        <f>+P73-T73</f>
        <v>-18774.559999999998</v>
      </c>
      <c r="Y73" s="3"/>
      <c r="Z73" s="20">
        <f>IF(T73=0,0,X73/T73)</f>
        <v>-0.55365850781480386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8" t="s">
        <v>292</v>
      </c>
      <c r="C75" s="28"/>
      <c r="D75" s="21">
        <f>+D23-D25+D72</f>
        <v>3238.2300000000032</v>
      </c>
      <c r="E75" s="15"/>
      <c r="F75" s="22">
        <f>IF(D$12=0,0,D75/D$12)</f>
        <v>0.13395213888336208</v>
      </c>
      <c r="G75" s="15"/>
      <c r="H75" s="21">
        <f>+H23-H25+H72</f>
        <v>8992.3436763846112</v>
      </c>
      <c r="I75" s="15"/>
      <c r="J75" s="22">
        <f>IF(H$12=0,0,H75/H$12)</f>
        <v>0.19296874842027062</v>
      </c>
      <c r="K75" s="16"/>
      <c r="L75" s="21">
        <f>+D75-H75</f>
        <v>-5754.113676384608</v>
      </c>
      <c r="M75" s="16"/>
      <c r="N75" s="22">
        <f>IF(H75=0,0,L75/H75)</f>
        <v>-0.63989032041734195</v>
      </c>
      <c r="O75" s="27"/>
      <c r="P75" s="21">
        <f>+P23-P25+P72</f>
        <v>-21442.800000000017</v>
      </c>
      <c r="Q75" s="15"/>
      <c r="R75" s="22">
        <f>IF(P$12=0,0,P75/P$12)</f>
        <v>-0.1464512275231161</v>
      </c>
      <c r="S75" s="15"/>
      <c r="T75" s="21">
        <f>+T23-T25+T72</f>
        <v>48327.65973667294</v>
      </c>
      <c r="U75" s="15"/>
      <c r="V75" s="22">
        <f>IF(T$12=0,0,T75/T$12)</f>
        <v>0.18118569241057603</v>
      </c>
      <c r="W75" s="16"/>
      <c r="X75" s="21">
        <f>+P75-T75</f>
        <v>-69770.459736672958</v>
      </c>
      <c r="Y75" s="16"/>
      <c r="Z75" s="22">
        <f>IF(T75=0,0,X75/T75)</f>
        <v>-1.4436962211047926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2095.2600000000002</v>
      </c>
      <c r="E77" s="5"/>
      <c r="F77" s="13">
        <f>IF(D$12=0,0,D77/D$12)</f>
        <v>8.6672212448390934E-2</v>
      </c>
      <c r="G77" s="5"/>
      <c r="H77" s="5">
        <v>5026</v>
      </c>
      <c r="I77" s="5"/>
      <c r="J77" s="13">
        <f>IF(H$12=0,0,H77/H$12)</f>
        <v>0.10785407725321888</v>
      </c>
      <c r="K77" s="5"/>
      <c r="L77" s="5">
        <f>+D77-H77</f>
        <v>-2930.74</v>
      </c>
      <c r="M77" s="5"/>
      <c r="N77" s="13">
        <f>IF(H77=0,0,L77/H77)</f>
        <v>-0.58311579785117384</v>
      </c>
      <c r="O77" s="11"/>
      <c r="P77" s="5">
        <v>18276.04</v>
      </c>
      <c r="Q77" s="5"/>
      <c r="R77" s="13">
        <f>IF(P$12=0,0,P77/P$12)</f>
        <v>0.12482271402342832</v>
      </c>
      <c r="S77" s="5"/>
      <c r="T77" s="5">
        <v>32608</v>
      </c>
      <c r="U77" s="5"/>
      <c r="V77" s="13">
        <f>IF(T$12=0,0,T77/T$12)</f>
        <v>0.12225096539571852</v>
      </c>
      <c r="W77" s="5"/>
      <c r="X77" s="5">
        <f>+P77-T77</f>
        <v>-14331.96</v>
      </c>
      <c r="Y77" s="5"/>
      <c r="Z77" s="13">
        <f>IF(T77=0,0,X77/T77)</f>
        <v>-0.43952281648675168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294</v>
      </c>
      <c r="C79" s="28"/>
      <c r="D79" s="33">
        <f>+D75-D77</f>
        <v>1142.970000000003</v>
      </c>
      <c r="E79" s="15"/>
      <c r="F79" s="32">
        <f>IF(D$12=0,0,D79/D$12)</f>
        <v>4.7279926434971142E-2</v>
      </c>
      <c r="G79" s="15"/>
      <c r="H79" s="33">
        <f>+H75-H77</f>
        <v>3966.3436763846112</v>
      </c>
      <c r="I79" s="15"/>
      <c r="J79" s="32">
        <f>IF(H$12=0,0,H79/H$12)</f>
        <v>8.5114671167051736E-2</v>
      </c>
      <c r="K79" s="16"/>
      <c r="L79" s="33">
        <f>D79-H79</f>
        <v>-2823.3736763846082</v>
      </c>
      <c r="M79" s="16"/>
      <c r="N79" s="32">
        <f>IF(H79=0,0,L79/H79)</f>
        <v>-0.71183283818666987</v>
      </c>
      <c r="O79" s="27"/>
      <c r="P79" s="33">
        <f>+P75-P77</f>
        <v>-39718.840000000018</v>
      </c>
      <c r="Q79" s="15"/>
      <c r="R79" s="32">
        <f>IF(P$12=0,0,P79/P$12)</f>
        <v>-0.27127394154654438</v>
      </c>
      <c r="S79" s="15"/>
      <c r="T79" s="33">
        <f>+T75-T77</f>
        <v>15719.65973667294</v>
      </c>
      <c r="U79" s="15"/>
      <c r="V79" s="32">
        <f>IF(T$12=0,0,T79/T$12)</f>
        <v>5.8934727014857496E-2</v>
      </c>
      <c r="W79" s="16"/>
      <c r="X79" s="33">
        <f>P79-T79</f>
        <v>-55438.499736672959</v>
      </c>
      <c r="Y79" s="16"/>
      <c r="Z79" s="32">
        <f>IF(T79=0,0,X79/T79)</f>
        <v>-3.526698456922611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8" t="s">
        <v>297</v>
      </c>
      <c r="C82" s="28"/>
      <c r="D82" s="34">
        <f>SUM(D79:D81)</f>
        <v>1142.970000000003</v>
      </c>
      <c r="E82" s="15"/>
      <c r="F82" s="30">
        <f>IF(D$12=0,0,D82/D$12)</f>
        <v>4.7279926434971142E-2</v>
      </c>
      <c r="G82" s="15"/>
      <c r="H82" s="34">
        <f>SUM(H79:H81)</f>
        <v>3966.3436763846112</v>
      </c>
      <c r="I82" s="15"/>
      <c r="J82" s="30">
        <f>IF(H$12=0,0,H82/H$12)</f>
        <v>8.5114671167051736E-2</v>
      </c>
      <c r="K82" s="16"/>
      <c r="L82" s="34">
        <f>+D82-H82</f>
        <v>-2823.3736763846082</v>
      </c>
      <c r="M82" s="16"/>
      <c r="N82" s="30">
        <f>IF(H82=0,0,L82/H82)</f>
        <v>-0.71183283818666987</v>
      </c>
      <c r="O82" s="27"/>
      <c r="P82" s="34">
        <f>SUM(P79:P81)</f>
        <v>-39718.840000000018</v>
      </c>
      <c r="Q82" s="15"/>
      <c r="R82" s="30">
        <f>IF(P$12=0,0,P82/P$12)</f>
        <v>-0.27127394154654438</v>
      </c>
      <c r="S82" s="15"/>
      <c r="T82" s="34">
        <f>SUM(T79:T81)</f>
        <v>15719.65973667294</v>
      </c>
      <c r="U82" s="15"/>
      <c r="V82" s="30">
        <f>IF(T$12=0,0,T82/T$12)</f>
        <v>5.8934727014857496E-2</v>
      </c>
      <c r="W82" s="16"/>
      <c r="X82" s="34">
        <f>+P82-T82</f>
        <v>-55438.499736672959</v>
      </c>
      <c r="Y82" s="16"/>
      <c r="Z82" s="30">
        <f>IF(T82=0,0,X82/T82)</f>
        <v>-3.526698456922611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0"/>
      <c r="B84" s="57">
        <v>44634.883430555557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0"/>
      <c r="B85" s="56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0"/>
      <c r="B86" s="54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6C2E-D54B-C41D-81CD-E8276EF6D1A3}">
  <sheetPr>
    <tabColor rgb="FFFFC000"/>
    <outlinePr summaryBelow="0" summaryRight="0"/>
  </sheetPr>
  <dimension ref="A2:Z9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315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171349.23</v>
      </c>
      <c r="E12" s="5"/>
      <c r="F12" s="13"/>
      <c r="G12" s="5"/>
      <c r="H12" s="5">
        <f>SUM(OSRRefH13x_0)</f>
        <v>106698</v>
      </c>
      <c r="I12" s="5"/>
      <c r="J12" s="13"/>
      <c r="K12" s="5"/>
      <c r="L12" s="5">
        <f t="shared" ref="L12:L17" si="0">+D12-H12</f>
        <v>64651.23000000001</v>
      </c>
      <c r="M12" s="5"/>
      <c r="N12" s="13">
        <f t="shared" ref="N12:N17" si="1">IF(H12=0,0,L12/H12)</f>
        <v>0.60592729010853075</v>
      </c>
      <c r="O12" s="11"/>
      <c r="P12" s="5">
        <f>SUM(OSRRefP13x_0)</f>
        <v>1293776.3299999998</v>
      </c>
      <c r="Q12" s="5"/>
      <c r="R12" s="13"/>
      <c r="S12" s="5"/>
      <c r="T12" s="5">
        <f>SUM(OSRRefT13x_0)</f>
        <v>1477093</v>
      </c>
      <c r="U12" s="5"/>
      <c r="V12" s="13"/>
      <c r="W12" s="5"/>
      <c r="X12" s="5">
        <f t="shared" ref="X12:X17" si="2">+P12-T12</f>
        <v>-183316.67000000016</v>
      </c>
      <c r="Y12" s="5"/>
      <c r="Z12" s="13">
        <f t="shared" ref="Z12:Z17" si="3">IF(T12=0,0,X12/T12)</f>
        <v>-0.1241063832812153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--119951.35</f>
        <v>119951.35</v>
      </c>
      <c r="E13" s="3"/>
      <c r="F13" s="20"/>
      <c r="G13" s="3"/>
      <c r="H13" s="3">
        <v>94619</v>
      </c>
      <c r="I13" s="3"/>
      <c r="J13" s="20"/>
      <c r="K13" s="3"/>
      <c r="L13" s="3">
        <f t="shared" si="0"/>
        <v>25332.350000000006</v>
      </c>
      <c r="M13" s="3"/>
      <c r="N13" s="20">
        <f t="shared" si="1"/>
        <v>0.26773005421744056</v>
      </c>
      <c r="O13" s="12"/>
      <c r="P13" s="3">
        <f>--1026610.68</f>
        <v>1026610.68</v>
      </c>
      <c r="Q13" s="3"/>
      <c r="R13" s="20"/>
      <c r="S13" s="3"/>
      <c r="T13" s="3">
        <v>1382100</v>
      </c>
      <c r="U13" s="3"/>
      <c r="V13" s="20"/>
      <c r="W13" s="3"/>
      <c r="X13" s="3">
        <f t="shared" si="2"/>
        <v>-355489.31999999995</v>
      </c>
      <c r="Y13" s="3"/>
      <c r="Z13" s="20">
        <f t="shared" si="3"/>
        <v>-0.25720955068374207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--77573.66</f>
        <v>77573.66</v>
      </c>
      <c r="E14" s="3"/>
      <c r="F14" s="20"/>
      <c r="G14" s="3"/>
      <c r="H14" s="3">
        <v>12079</v>
      </c>
      <c r="I14" s="3"/>
      <c r="J14" s="20"/>
      <c r="K14" s="3"/>
      <c r="L14" s="3">
        <f t="shared" si="0"/>
        <v>65494.66</v>
      </c>
      <c r="M14" s="3"/>
      <c r="N14" s="20">
        <f t="shared" si="1"/>
        <v>5.422192234456495</v>
      </c>
      <c r="O14" s="12"/>
      <c r="P14" s="3">
        <f>--493256.87</f>
        <v>493256.87</v>
      </c>
      <c r="Q14" s="3"/>
      <c r="R14" s="20"/>
      <c r="S14" s="3"/>
      <c r="T14" s="3">
        <v>94993</v>
      </c>
      <c r="U14" s="3"/>
      <c r="V14" s="20"/>
      <c r="W14" s="3"/>
      <c r="X14" s="3">
        <f t="shared" si="2"/>
        <v>398263.87</v>
      </c>
      <c r="Y14" s="3"/>
      <c r="Z14" s="20">
        <f t="shared" si="3"/>
        <v>4.1925601886454791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-25608.66</f>
        <v>-25608.66</v>
      </c>
      <c r="E15" s="3"/>
      <c r="F15" s="20"/>
      <c r="G15" s="3"/>
      <c r="H15" s="3"/>
      <c r="I15" s="3"/>
      <c r="J15" s="20"/>
      <c r="K15" s="3"/>
      <c r="L15" s="3">
        <f t="shared" si="0"/>
        <v>-25608.66</v>
      </c>
      <c r="M15" s="3"/>
      <c r="N15" s="20">
        <f t="shared" si="1"/>
        <v>0</v>
      </c>
      <c r="O15" s="12"/>
      <c r="P15" s="3">
        <f>-224059.1</f>
        <v>-224059.1</v>
      </c>
      <c r="Q15" s="3"/>
      <c r="R15" s="20"/>
      <c r="S15" s="3"/>
      <c r="T15" s="3"/>
      <c r="U15" s="3"/>
      <c r="V15" s="20"/>
      <c r="W15" s="3"/>
      <c r="X15" s="3">
        <f t="shared" si="2"/>
        <v>-224059.1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-389.74</f>
        <v>-389.74</v>
      </c>
      <c r="E16" s="3"/>
      <c r="F16" s="20"/>
      <c r="G16" s="3"/>
      <c r="H16" s="3"/>
      <c r="I16" s="3"/>
      <c r="J16" s="20"/>
      <c r="K16" s="3"/>
      <c r="L16" s="3">
        <f t="shared" si="0"/>
        <v>-389.74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-177.38</f>
        <v>-177.38</v>
      </c>
      <c r="E17" s="3"/>
      <c r="F17" s="20"/>
      <c r="G17" s="3"/>
      <c r="H17" s="3"/>
      <c r="I17" s="3"/>
      <c r="J17" s="20"/>
      <c r="K17" s="3"/>
      <c r="L17" s="3">
        <f t="shared" si="0"/>
        <v>-177.38</v>
      </c>
      <c r="M17" s="3"/>
      <c r="N17" s="20">
        <f t="shared" si="1"/>
        <v>0</v>
      </c>
      <c r="O17" s="12"/>
      <c r="P17" s="3">
        <f>-917.6</f>
        <v>-917.6</v>
      </c>
      <c r="Q17" s="3"/>
      <c r="R17" s="20"/>
      <c r="S17" s="3"/>
      <c r="T17" s="3"/>
      <c r="U17" s="3"/>
      <c r="V17" s="20"/>
      <c r="W17" s="3"/>
      <c r="X17" s="3">
        <f t="shared" si="2"/>
        <v>-917.6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151731.15</v>
      </c>
      <c r="E19" s="5"/>
      <c r="F19" s="13">
        <f t="shared" ref="F19:F29" si="4">IF(D$12=0,0,D19/D$12)</f>
        <v>0.88550821033744931</v>
      </c>
      <c r="G19" s="5"/>
      <c r="H19" s="5">
        <f>SUM(OSRRefH16x_0)</f>
        <v>95495</v>
      </c>
      <c r="I19" s="5"/>
      <c r="J19" s="13">
        <f t="shared" ref="J19:J29" si="5">IF(H$12=0,0,H19/H$12)</f>
        <v>0.89500271795160169</v>
      </c>
      <c r="K19" s="5"/>
      <c r="L19" s="5">
        <f t="shared" ref="L19:L29" si="6">+D19-H19</f>
        <v>56236.149999999994</v>
      </c>
      <c r="M19" s="5"/>
      <c r="N19" s="13">
        <f t="shared" ref="N19:N29" si="7">IF(H19=0,0,L19/H19)</f>
        <v>0.58889104141578086</v>
      </c>
      <c r="O19" s="11"/>
      <c r="P19" s="5">
        <f>SUM(OSRRefP16x_0)</f>
        <v>1106038.9099999999</v>
      </c>
      <c r="Q19" s="5"/>
      <c r="R19" s="13">
        <f t="shared" ref="R19:R29" si="8">IF(P$12=0,0,P19/P$12)</f>
        <v>0.85489190391974479</v>
      </c>
      <c r="S19" s="5"/>
      <c r="T19" s="5">
        <f>SUM(OSRRefT16x_0)</f>
        <v>1321996</v>
      </c>
      <c r="U19" s="5"/>
      <c r="V19" s="13">
        <f t="shared" ref="V19:V29" si="9">IF(T$12=0,0,T19/T$12)</f>
        <v>0.89499848689283612</v>
      </c>
      <c r="W19" s="5"/>
      <c r="X19" s="5">
        <f t="shared" ref="X19:X29" si="10">+P19-T19</f>
        <v>-215957.09000000008</v>
      </c>
      <c r="Y19" s="5"/>
      <c r="Z19" s="13">
        <f t="shared" ref="Z19:Z29" si="11">IF(T19=0,0,X19/T19)</f>
        <v>-0.16335684071661344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148585.57</v>
      </c>
      <c r="E20" s="3"/>
      <c r="F20" s="20">
        <f t="shared" si="4"/>
        <v>0.8671504972622287</v>
      </c>
      <c r="G20" s="3"/>
      <c r="H20" s="3">
        <v>95495</v>
      </c>
      <c r="I20" s="3"/>
      <c r="J20" s="20">
        <f t="shared" si="5"/>
        <v>0.89500271795160169</v>
      </c>
      <c r="K20" s="3"/>
      <c r="L20" s="3">
        <f t="shared" si="6"/>
        <v>53090.570000000007</v>
      </c>
      <c r="M20" s="3"/>
      <c r="N20" s="20">
        <f t="shared" si="7"/>
        <v>0.55595130635111789</v>
      </c>
      <c r="O20" s="12"/>
      <c r="P20" s="3">
        <v>1174314.93</v>
      </c>
      <c r="Q20" s="3"/>
      <c r="R20" s="20">
        <f t="shared" si="8"/>
        <v>0.90766456517255967</v>
      </c>
      <c r="S20" s="3"/>
      <c r="T20" s="3">
        <v>1321996</v>
      </c>
      <c r="U20" s="3"/>
      <c r="V20" s="20">
        <f t="shared" si="9"/>
        <v>0.89499848689283612</v>
      </c>
      <c r="W20" s="3"/>
      <c r="X20" s="3">
        <f t="shared" si="10"/>
        <v>-147681.07000000007</v>
      </c>
      <c r="Y20" s="3"/>
      <c r="Z20" s="20">
        <f t="shared" si="11"/>
        <v>-0.11171067839842183</v>
      </c>
    </row>
    <row r="21" spans="1:26" s="70" customFormat="1" ht="15" hidden="1" customHeight="1" outlineLevel="1" x14ac:dyDescent="0.3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-93808.4</v>
      </c>
      <c r="Q22" s="3"/>
      <c r="R22" s="20">
        <f t="shared" si="8"/>
        <v>-7.2507432563710617E-2</v>
      </c>
      <c r="S22" s="3"/>
      <c r="T22" s="3"/>
      <c r="U22" s="3"/>
      <c r="V22" s="20">
        <f t="shared" si="9"/>
        <v>0</v>
      </c>
      <c r="W22" s="3"/>
      <c r="X22" s="3">
        <f t="shared" si="10"/>
        <v>-93808.4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","5200"," - ","PURCHASES OFFSET")</f>
        <v xml:space="preserve">          5200 - PURCHASES OFFSET</v>
      </c>
      <c r="C26" s="12"/>
      <c r="D26" s="3">
        <v>-148609.87</v>
      </c>
      <c r="E26" s="3"/>
      <c r="F26" s="20">
        <f t="shared" si="4"/>
        <v>-0.86729231289805031</v>
      </c>
      <c r="G26" s="3"/>
      <c r="H26" s="3"/>
      <c r="I26" s="3"/>
      <c r="J26" s="20">
        <f t="shared" si="5"/>
        <v>0</v>
      </c>
      <c r="K26" s="3"/>
      <c r="L26" s="3">
        <f t="shared" si="6"/>
        <v>-148609.87</v>
      </c>
      <c r="M26" s="3"/>
      <c r="N26" s="20">
        <f t="shared" si="7"/>
        <v>0</v>
      </c>
      <c r="O26" s="12"/>
      <c r="P26" s="3">
        <v>-1174407.57</v>
      </c>
      <c r="Q26" s="3"/>
      <c r="R26" s="20">
        <f t="shared" si="8"/>
        <v>-0.90773616951239189</v>
      </c>
      <c r="S26" s="3"/>
      <c r="T26" s="3"/>
      <c r="U26" s="3"/>
      <c r="V26" s="20">
        <f t="shared" si="9"/>
        <v>0</v>
      </c>
      <c r="W26" s="3"/>
      <c r="X26" s="3">
        <f t="shared" si="10"/>
        <v>-1174407.57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","5300"," - ","COG$ OFFSET")</f>
        <v xml:space="preserve">          5300 - COG$ OFFSET</v>
      </c>
      <c r="C27" s="12"/>
      <c r="D27" s="3">
        <v>151731.15</v>
      </c>
      <c r="E27" s="3"/>
      <c r="F27" s="20">
        <f t="shared" si="4"/>
        <v>0.88550821033744931</v>
      </c>
      <c r="G27" s="3"/>
      <c r="H27" s="3"/>
      <c r="I27" s="3"/>
      <c r="J27" s="20">
        <f t="shared" si="5"/>
        <v>0</v>
      </c>
      <c r="K27" s="3"/>
      <c r="L27" s="3">
        <f t="shared" si="6"/>
        <v>151731.15</v>
      </c>
      <c r="M27" s="3"/>
      <c r="N27" s="20">
        <f t="shared" si="7"/>
        <v>0</v>
      </c>
      <c r="O27" s="12"/>
      <c r="P27" s="3">
        <v>1199847.31</v>
      </c>
      <c r="Q27" s="3"/>
      <c r="R27" s="20">
        <f t="shared" si="8"/>
        <v>0.92739933648345552</v>
      </c>
      <c r="S27" s="3"/>
      <c r="T27" s="3"/>
      <c r="U27" s="3"/>
      <c r="V27" s="20">
        <f t="shared" si="9"/>
        <v>0</v>
      </c>
      <c r="W27" s="3"/>
      <c r="X27" s="3">
        <f t="shared" si="10"/>
        <v>1199847.31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>
        <v>24.3</v>
      </c>
      <c r="E28" s="3"/>
      <c r="F28" s="20">
        <f t="shared" si="4"/>
        <v>1.4181563582164915E-4</v>
      </c>
      <c r="G28" s="3"/>
      <c r="H28" s="3"/>
      <c r="I28" s="3"/>
      <c r="J28" s="20">
        <f t="shared" si="5"/>
        <v>0</v>
      </c>
      <c r="K28" s="3"/>
      <c r="L28" s="3">
        <f t="shared" si="6"/>
        <v>24.3</v>
      </c>
      <c r="M28" s="3"/>
      <c r="N28" s="20">
        <f t="shared" si="7"/>
        <v>0</v>
      </c>
      <c r="O28" s="12"/>
      <c r="P28" s="3">
        <v>92.64</v>
      </c>
      <c r="Q28" s="3"/>
      <c r="R28" s="20">
        <f t="shared" si="8"/>
        <v>7.1604339832063559E-5</v>
      </c>
      <c r="S28" s="3"/>
      <c r="T28" s="3"/>
      <c r="U28" s="3"/>
      <c r="V28" s="20">
        <f t="shared" si="9"/>
        <v>0</v>
      </c>
      <c r="W28" s="3"/>
      <c r="X28" s="3">
        <f t="shared" si="10"/>
        <v>92.64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289</v>
      </c>
      <c r="C31" s="28"/>
      <c r="D31" s="21">
        <f>D12-D19</f>
        <v>19618.080000000016</v>
      </c>
      <c r="E31" s="15"/>
      <c r="F31" s="22">
        <f>IF(D$12=0,0,D31/D$12)</f>
        <v>0.11449178966255066</v>
      </c>
      <c r="G31" s="15"/>
      <c r="H31" s="21">
        <f>H12-H19</f>
        <v>11203</v>
      </c>
      <c r="I31" s="15"/>
      <c r="J31" s="22">
        <f>IF(H$12=0,0,H31/H$12)</f>
        <v>0.10499728204839828</v>
      </c>
      <c r="K31" s="16"/>
      <c r="L31" s="21">
        <f>+D31-H31</f>
        <v>8415.0800000000163</v>
      </c>
      <c r="M31" s="16"/>
      <c r="N31" s="22">
        <f>IF(H31=0,0,L31/H31)</f>
        <v>0.75114522895653091</v>
      </c>
      <c r="O31" s="27"/>
      <c r="P31" s="21">
        <f>P12-P19</f>
        <v>187737.41999999993</v>
      </c>
      <c r="Q31" s="15"/>
      <c r="R31" s="22">
        <f>IF(P$12=0,0,P31/P$12)</f>
        <v>0.14510809608025518</v>
      </c>
      <c r="S31" s="15"/>
      <c r="T31" s="21">
        <f>T12-T19</f>
        <v>155097</v>
      </c>
      <c r="U31" s="15"/>
      <c r="V31" s="22">
        <f>IF(T$12=0,0,T31/T$12)</f>
        <v>0.10500151310716387</v>
      </c>
      <c r="W31" s="16"/>
      <c r="X31" s="21">
        <f>+P31-T31</f>
        <v>32640.419999999925</v>
      </c>
      <c r="Y31" s="16"/>
      <c r="Z31" s="22">
        <f>IF(T31=0,0,X31/T31)</f>
        <v>0.21045165283661144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7" t="s">
        <v>290</v>
      </c>
      <c r="C33" s="11"/>
      <c r="D33" s="23" cm="1">
        <f t="array" ref="D33">SUM(OSRRefD22x_0)</f>
        <v>15917.660000000002</v>
      </c>
      <c r="E33" s="23"/>
      <c r="F33" s="29">
        <f t="shared" ref="F33:F72" si="12">IF(D$12=0,0,D33/D$12)</f>
        <v>9.2896011263079503E-2</v>
      </c>
      <c r="G33" s="23"/>
      <c r="H33" s="23" cm="1">
        <f t="array" ref="H33">SUM(OSRRefH22x_0)</f>
        <v>14386.013488870001</v>
      </c>
      <c r="I33" s="23"/>
      <c r="J33" s="29">
        <f t="shared" ref="J33:J72" si="13">IF(H$12=0,0,H33/H$12)</f>
        <v>0.13482927035998801</v>
      </c>
      <c r="K33" s="5"/>
      <c r="L33" s="23">
        <f t="shared" ref="L33:L72" si="14">+D33-H33</f>
        <v>1531.6465111300004</v>
      </c>
      <c r="M33" s="5"/>
      <c r="N33" s="29">
        <f t="shared" ref="N33:N72" si="15">IF(H33=0,0,L33/H33)</f>
        <v>0.10646775163355618</v>
      </c>
      <c r="O33" s="11"/>
      <c r="P33" s="23" cm="1">
        <f t="array" ref="P33">SUM(OSRRefP22x_0)</f>
        <v>115815.06000000001</v>
      </c>
      <c r="Q33" s="23"/>
      <c r="R33" s="29">
        <f t="shared" ref="R33:R72" si="16">IF(P$12=0,0,P33/P$12)</f>
        <v>8.9517065132888943E-2</v>
      </c>
      <c r="S33" s="23"/>
      <c r="T33" s="23" cm="1">
        <f t="array" ref="T33">SUM(OSRRefT22x_0)</f>
        <v>127935.86814561251</v>
      </c>
      <c r="U33" s="23"/>
      <c r="V33" s="29">
        <f t="shared" ref="V33:V72" si="17">IF(T$12=0,0,T33/T$12)</f>
        <v>8.66132790187297E-2</v>
      </c>
      <c r="W33" s="5"/>
      <c r="X33" s="23">
        <f t="shared" ref="X33:X72" si="18">+P33-T33</f>
        <v>-12120.808145612493</v>
      </c>
      <c r="Y33" s="5"/>
      <c r="Z33" s="29">
        <f t="shared" ref="Z33:Z72" si="19">IF(T33=0,0,X33/T33)</f>
        <v>-9.474128187270342E-2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5158.8</v>
      </c>
      <c r="E34" s="2"/>
      <c r="F34" s="6">
        <f t="shared" si="12"/>
        <v>3.010693424184048E-2</v>
      </c>
      <c r="G34" s="2"/>
      <c r="H34" s="2">
        <f>SUM(OSRRefH22_0x_0)</f>
        <v>2578.94293887</v>
      </c>
      <c r="I34" s="2"/>
      <c r="J34" s="6">
        <f t="shared" si="13"/>
        <v>2.4170489970477424E-2</v>
      </c>
      <c r="K34" s="2"/>
      <c r="L34" s="2">
        <f t="shared" si="14"/>
        <v>2579.8570611300001</v>
      </c>
      <c r="M34" s="2"/>
      <c r="N34" s="6">
        <f t="shared" si="15"/>
        <v>1.0003544561790114</v>
      </c>
      <c r="O34" s="14"/>
      <c r="P34" s="2">
        <f>SUM(OSRRefP22_0x_0)</f>
        <v>19968.349999999995</v>
      </c>
      <c r="Q34" s="2"/>
      <c r="R34" s="6">
        <f t="shared" si="16"/>
        <v>1.5434159318713149E-2</v>
      </c>
      <c r="S34" s="2"/>
      <c r="T34" s="2">
        <f>SUM(OSRRefT22_0x_0)</f>
        <v>22820.5608331125</v>
      </c>
      <c r="U34" s="2"/>
      <c r="V34" s="6">
        <f t="shared" si="17"/>
        <v>1.5449643883704343E-2</v>
      </c>
      <c r="W34" s="2"/>
      <c r="X34" s="2">
        <f t="shared" si="18"/>
        <v>-2852.2108331125055</v>
      </c>
      <c r="Y34" s="2"/>
      <c r="Z34" s="6">
        <f t="shared" si="19"/>
        <v>-0.12498425669600391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8">
        <v>523.23</v>
      </c>
      <c r="E35" s="3"/>
      <c r="F35" s="7">
        <f t="shared" si="12"/>
        <v>3.0535882769942998E-3</v>
      </c>
      <c r="G35" s="3"/>
      <c r="H35" s="8">
        <v>457.37151956999998</v>
      </c>
      <c r="I35" s="3"/>
      <c r="J35" s="7">
        <f t="shared" si="13"/>
        <v>4.2865988075690264E-3</v>
      </c>
      <c r="K35" s="3"/>
      <c r="L35" s="8">
        <f t="shared" si="14"/>
        <v>65.858480430000043</v>
      </c>
      <c r="M35" s="3"/>
      <c r="N35" s="7">
        <f t="shared" si="15"/>
        <v>0.14399340057710022</v>
      </c>
      <c r="O35" s="12"/>
      <c r="P35" s="8">
        <v>4287.54</v>
      </c>
      <c r="Q35" s="3"/>
      <c r="R35" s="7">
        <f t="shared" si="16"/>
        <v>3.3139731347535169E-3</v>
      </c>
      <c r="S35" s="3"/>
      <c r="T35" s="8">
        <v>4780.7700762374998</v>
      </c>
      <c r="U35" s="3"/>
      <c r="V35" s="7">
        <f t="shared" si="17"/>
        <v>3.23660736069936E-3</v>
      </c>
      <c r="W35" s="3"/>
      <c r="X35" s="8">
        <f t="shared" si="18"/>
        <v>-493.23007623749982</v>
      </c>
      <c r="Y35" s="3"/>
      <c r="Z35" s="7">
        <f t="shared" si="19"/>
        <v>-0.10316958740372544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8">
        <v>150.32</v>
      </c>
      <c r="E36" s="3"/>
      <c r="F36" s="7">
        <f t="shared" si="12"/>
        <v>8.7727269039960078E-4</v>
      </c>
      <c r="G36" s="3"/>
      <c r="H36" s="8">
        <v>165.6078684</v>
      </c>
      <c r="I36" s="3"/>
      <c r="J36" s="7">
        <f t="shared" si="13"/>
        <v>1.5521178316369566E-3</v>
      </c>
      <c r="K36" s="3"/>
      <c r="L36" s="8">
        <f t="shared" si="14"/>
        <v>-15.287868400000008</v>
      </c>
      <c r="M36" s="3"/>
      <c r="N36" s="7">
        <f t="shared" si="15"/>
        <v>-9.2313659657007024E-2</v>
      </c>
      <c r="O36" s="12"/>
      <c r="P36" s="8">
        <v>1149.3499999999999</v>
      </c>
      <c r="Q36" s="3"/>
      <c r="R36" s="7">
        <f t="shared" si="16"/>
        <v>8.883683936310692E-4</v>
      </c>
      <c r="S36" s="3"/>
      <c r="T36" s="8">
        <v>1444.8715125000001</v>
      </c>
      <c r="U36" s="3"/>
      <c r="V36" s="7">
        <f t="shared" si="17"/>
        <v>9.7818587759877004E-4</v>
      </c>
      <c r="W36" s="3"/>
      <c r="X36" s="8">
        <f t="shared" si="18"/>
        <v>-295.5215125000002</v>
      </c>
      <c r="Y36" s="3"/>
      <c r="Z36" s="7">
        <f t="shared" si="19"/>
        <v>-0.20453134409762971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8">
        <v>1539.12</v>
      </c>
      <c r="E37" s="3"/>
      <c r="F37" s="7">
        <f t="shared" si="12"/>
        <v>8.9823572594986256E-3</v>
      </c>
      <c r="G37" s="3"/>
      <c r="H37" s="8">
        <v>943.5</v>
      </c>
      <c r="I37" s="3"/>
      <c r="J37" s="7">
        <f t="shared" si="13"/>
        <v>8.8427149524827088E-3</v>
      </c>
      <c r="K37" s="3"/>
      <c r="L37" s="8">
        <f t="shared" si="14"/>
        <v>595.61999999999989</v>
      </c>
      <c r="M37" s="3"/>
      <c r="N37" s="7">
        <f t="shared" si="15"/>
        <v>0.6312877583465818</v>
      </c>
      <c r="O37" s="12"/>
      <c r="P37" s="8">
        <v>6828.65</v>
      </c>
      <c r="Q37" s="3"/>
      <c r="R37" s="7">
        <f t="shared" si="16"/>
        <v>5.2780761571051471E-3</v>
      </c>
      <c r="S37" s="3"/>
      <c r="T37" s="8">
        <v>8007</v>
      </c>
      <c r="U37" s="3"/>
      <c r="V37" s="7">
        <f t="shared" si="17"/>
        <v>5.4207825776711417E-3</v>
      </c>
      <c r="W37" s="3"/>
      <c r="X37" s="8">
        <f t="shared" si="18"/>
        <v>-1178.3500000000004</v>
      </c>
      <c r="Y37" s="3"/>
      <c r="Z37" s="7">
        <f t="shared" si="19"/>
        <v>-0.14716498064193834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8">
        <v>26.41</v>
      </c>
      <c r="E38" s="3"/>
      <c r="F38" s="7">
        <f t="shared" si="12"/>
        <v>1.5412966839710923E-4</v>
      </c>
      <c r="G38" s="3"/>
      <c r="H38" s="8">
        <v>22.293366899999999</v>
      </c>
      <c r="I38" s="3"/>
      <c r="J38" s="7">
        <f t="shared" si="13"/>
        <v>2.0893893887420569E-4</v>
      </c>
      <c r="K38" s="3"/>
      <c r="L38" s="8">
        <f t="shared" si="14"/>
        <v>4.1166331000000014</v>
      </c>
      <c r="M38" s="3"/>
      <c r="N38" s="7">
        <f t="shared" si="15"/>
        <v>0.18465730719212275</v>
      </c>
      <c r="O38" s="12"/>
      <c r="P38" s="8">
        <v>201.92</v>
      </c>
      <c r="Q38" s="3"/>
      <c r="R38" s="7">
        <f t="shared" si="16"/>
        <v>1.5607025365814198E-4</v>
      </c>
      <c r="S38" s="3"/>
      <c r="T38" s="8">
        <v>194.50193437499999</v>
      </c>
      <c r="U38" s="3"/>
      <c r="V38" s="7">
        <f t="shared" si="17"/>
        <v>1.3167886813829596E-4</v>
      </c>
      <c r="W38" s="3"/>
      <c r="X38" s="8">
        <f t="shared" si="18"/>
        <v>7.418065624999997</v>
      </c>
      <c r="Y38" s="3"/>
      <c r="Z38" s="7">
        <f t="shared" si="19"/>
        <v>3.8138775579979356E-2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8">
        <v>123.87</v>
      </c>
      <c r="E39" s="3"/>
      <c r="F39" s="7">
        <f t="shared" si="12"/>
        <v>7.2290958062665351E-4</v>
      </c>
      <c r="G39" s="3"/>
      <c r="H39" s="8">
        <v>202.166134</v>
      </c>
      <c r="I39" s="3"/>
      <c r="J39" s="7">
        <f t="shared" si="13"/>
        <v>1.8947509231663198E-3</v>
      </c>
      <c r="K39" s="3"/>
      <c r="L39" s="8">
        <f t="shared" si="14"/>
        <v>-78.296133999999995</v>
      </c>
      <c r="M39" s="3"/>
      <c r="N39" s="7">
        <f t="shared" si="15"/>
        <v>-0.38728610203329106</v>
      </c>
      <c r="O39" s="12"/>
      <c r="P39" s="8">
        <v>914.81</v>
      </c>
      <c r="Q39" s="3"/>
      <c r="R39" s="7">
        <f t="shared" si="16"/>
        <v>7.0708512653033318E-4</v>
      </c>
      <c r="S39" s="3"/>
      <c r="T39" s="8">
        <v>1768.9536725</v>
      </c>
      <c r="U39" s="3"/>
      <c r="V39" s="7">
        <f t="shared" si="17"/>
        <v>1.1975912637186691E-3</v>
      </c>
      <c r="W39" s="3"/>
      <c r="X39" s="8">
        <f t="shared" si="18"/>
        <v>-854.14367250000009</v>
      </c>
      <c r="Y39" s="3"/>
      <c r="Z39" s="7">
        <f t="shared" si="19"/>
        <v>-0.48285248267291753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8">
        <v>120</v>
      </c>
      <c r="E41" s="3"/>
      <c r="F41" s="7">
        <f t="shared" si="12"/>
        <v>7.0032412751431681E-4</v>
      </c>
      <c r="G41" s="3"/>
      <c r="H41" s="8"/>
      <c r="I41" s="3"/>
      <c r="J41" s="7">
        <f t="shared" si="13"/>
        <v>0</v>
      </c>
      <c r="K41" s="3"/>
      <c r="L41" s="8">
        <f t="shared" si="14"/>
        <v>120</v>
      </c>
      <c r="M41" s="3"/>
      <c r="N41" s="7">
        <f t="shared" si="15"/>
        <v>0</v>
      </c>
      <c r="O41" s="12"/>
      <c r="P41" s="8">
        <v>-117.34</v>
      </c>
      <c r="Q41" s="3"/>
      <c r="R41" s="7">
        <f t="shared" si="16"/>
        <v>-9.0695738729429392E-5</v>
      </c>
      <c r="S41" s="3"/>
      <c r="T41" s="8"/>
      <c r="U41" s="3"/>
      <c r="V41" s="7">
        <f t="shared" si="17"/>
        <v>0</v>
      </c>
      <c r="W41" s="3"/>
      <c r="X41" s="8">
        <f t="shared" si="18"/>
        <v>-117.34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8">
        <v>917.55</v>
      </c>
      <c r="E42" s="3"/>
      <c r="F42" s="7">
        <f t="shared" si="12"/>
        <v>5.3548533600063447E-3</v>
      </c>
      <c r="G42" s="3"/>
      <c r="H42" s="8">
        <v>179.29106999999999</v>
      </c>
      <c r="I42" s="3"/>
      <c r="J42" s="7">
        <f t="shared" si="13"/>
        <v>1.6803601754484618E-3</v>
      </c>
      <c r="K42" s="3"/>
      <c r="L42" s="8">
        <f t="shared" si="14"/>
        <v>738.25892999999996</v>
      </c>
      <c r="M42" s="3"/>
      <c r="N42" s="7">
        <f t="shared" si="15"/>
        <v>4.1176558877137603</v>
      </c>
      <c r="O42" s="12"/>
      <c r="P42" s="8">
        <v>2292.9699999999998</v>
      </c>
      <c r="Q42" s="3"/>
      <c r="R42" s="7">
        <f t="shared" si="16"/>
        <v>1.7723078918904013E-3</v>
      </c>
      <c r="S42" s="3"/>
      <c r="T42" s="8">
        <v>1568.7968625000001</v>
      </c>
      <c r="U42" s="3"/>
      <c r="V42" s="7">
        <f t="shared" si="17"/>
        <v>1.0620840140058887E-3</v>
      </c>
      <c r="W42" s="3"/>
      <c r="X42" s="8">
        <f t="shared" si="18"/>
        <v>724.17313749999971</v>
      </c>
      <c r="Y42" s="3"/>
      <c r="Z42" s="7">
        <f t="shared" si="19"/>
        <v>0.46161052129207691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8">
        <v>1533.28</v>
      </c>
      <c r="E43" s="3"/>
      <c r="F43" s="7">
        <f t="shared" si="12"/>
        <v>8.9482748186262631E-3</v>
      </c>
      <c r="G43" s="3"/>
      <c r="H43" s="8">
        <v>258.71298000000002</v>
      </c>
      <c r="I43" s="3"/>
      <c r="J43" s="7">
        <f t="shared" si="13"/>
        <v>2.4247219254344039E-3</v>
      </c>
      <c r="K43" s="3"/>
      <c r="L43" s="8">
        <f t="shared" si="14"/>
        <v>1274.56702</v>
      </c>
      <c r="M43" s="3"/>
      <c r="N43" s="7">
        <f t="shared" si="15"/>
        <v>4.9265677354108783</v>
      </c>
      <c r="O43" s="12"/>
      <c r="P43" s="8">
        <v>3074.44</v>
      </c>
      <c r="Q43" s="3"/>
      <c r="R43" s="7">
        <f t="shared" si="16"/>
        <v>2.3763303816201372E-3</v>
      </c>
      <c r="S43" s="3"/>
      <c r="T43" s="8">
        <v>2255.6667750000001</v>
      </c>
      <c r="U43" s="3"/>
      <c r="V43" s="7">
        <f t="shared" si="17"/>
        <v>1.5270986830213129E-3</v>
      </c>
      <c r="W43" s="3"/>
      <c r="X43" s="8">
        <f t="shared" si="18"/>
        <v>818.77322499999991</v>
      </c>
      <c r="Y43" s="3"/>
      <c r="Z43" s="7">
        <f t="shared" si="19"/>
        <v>0.36298500916652454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8">
        <v>225.02</v>
      </c>
      <c r="E44" s="3"/>
      <c r="F44" s="7">
        <f t="shared" si="12"/>
        <v>1.3132244597772631E-3</v>
      </c>
      <c r="G44" s="3"/>
      <c r="H44" s="8">
        <v>350</v>
      </c>
      <c r="I44" s="3"/>
      <c r="J44" s="7">
        <f t="shared" si="13"/>
        <v>3.2802864158653394E-3</v>
      </c>
      <c r="K44" s="3"/>
      <c r="L44" s="8">
        <f t="shared" si="14"/>
        <v>-124.97999999999999</v>
      </c>
      <c r="M44" s="3"/>
      <c r="N44" s="7">
        <f t="shared" si="15"/>
        <v>-0.35708571428571428</v>
      </c>
      <c r="O44" s="12"/>
      <c r="P44" s="8">
        <v>1336.01</v>
      </c>
      <c r="Q44" s="3"/>
      <c r="R44" s="7">
        <f t="shared" si="16"/>
        <v>1.0326437182538346E-3</v>
      </c>
      <c r="S44" s="3"/>
      <c r="T44" s="8">
        <v>2800</v>
      </c>
      <c r="U44" s="3"/>
      <c r="V44" s="7">
        <f t="shared" si="17"/>
        <v>1.8956152388509052E-3</v>
      </c>
      <c r="W44" s="3"/>
      <c r="X44" s="8">
        <f t="shared" si="18"/>
        <v>-1463.99</v>
      </c>
      <c r="Y44" s="3"/>
      <c r="Z44" s="7">
        <f t="shared" si="19"/>
        <v>-0.52285357142857147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9615.25</v>
      </c>
      <c r="E45" s="2"/>
      <c r="F45" s="6">
        <f t="shared" si="12"/>
        <v>5.6114929725683618E-2</v>
      </c>
      <c r="G45" s="2"/>
      <c r="H45" s="2">
        <f>SUM(OSRRefH22_1x_0)</f>
        <v>10317.07055</v>
      </c>
      <c r="I45" s="2"/>
      <c r="J45" s="6">
        <f t="shared" si="13"/>
        <v>9.669413250482671E-2</v>
      </c>
      <c r="K45" s="2"/>
      <c r="L45" s="2">
        <f t="shared" si="14"/>
        <v>-701.82055000000037</v>
      </c>
      <c r="M45" s="2"/>
      <c r="N45" s="6">
        <f t="shared" si="15"/>
        <v>-6.8025176972352913E-2</v>
      </c>
      <c r="O45" s="14"/>
      <c r="P45" s="2">
        <f>SUM(OSRRefP22_1x_0)</f>
        <v>81076.990000000005</v>
      </c>
      <c r="Q45" s="2"/>
      <c r="R45" s="6">
        <f t="shared" si="16"/>
        <v>6.2666929452944942E-2</v>
      </c>
      <c r="S45" s="2"/>
      <c r="T45" s="2">
        <f>SUM(OSRRefT22_1x_0)</f>
        <v>90005.307312500008</v>
      </c>
      <c r="U45" s="2"/>
      <c r="V45" s="6">
        <f t="shared" si="17"/>
        <v>6.0934082899654934E-2</v>
      </c>
      <c r="W45" s="2"/>
      <c r="X45" s="2">
        <f t="shared" si="18"/>
        <v>-8928.317312500003</v>
      </c>
      <c r="Y45" s="2"/>
      <c r="Z45" s="6">
        <f t="shared" si="19"/>
        <v>-9.9197675993713666E-2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8">
        <v>1700</v>
      </c>
      <c r="E47" s="3"/>
      <c r="F47" s="7">
        <f t="shared" si="12"/>
        <v>9.9212584731194868E-3</v>
      </c>
      <c r="G47" s="3"/>
      <c r="H47" s="8">
        <v>2233.2305500000002</v>
      </c>
      <c r="I47" s="3"/>
      <c r="J47" s="7">
        <f t="shared" si="13"/>
        <v>2.0930388104744232E-2</v>
      </c>
      <c r="K47" s="3"/>
      <c r="L47" s="8">
        <f t="shared" si="14"/>
        <v>-533.23055000000022</v>
      </c>
      <c r="M47" s="3"/>
      <c r="N47" s="7">
        <f t="shared" si="15"/>
        <v>-0.23877093656989432</v>
      </c>
      <c r="O47" s="12"/>
      <c r="P47" s="8">
        <v>14952.94</v>
      </c>
      <c r="Q47" s="3"/>
      <c r="R47" s="7">
        <f t="shared" si="16"/>
        <v>1.1557592802768314E-2</v>
      </c>
      <c r="S47" s="3"/>
      <c r="T47" s="8">
        <v>19540.7673125</v>
      </c>
      <c r="U47" s="3"/>
      <c r="V47" s="7">
        <f t="shared" si="17"/>
        <v>1.3229205820148087E-2</v>
      </c>
      <c r="W47" s="3"/>
      <c r="X47" s="8">
        <f t="shared" si="18"/>
        <v>-4587.8273124999996</v>
      </c>
      <c r="Y47" s="3"/>
      <c r="Z47" s="7">
        <f t="shared" si="19"/>
        <v>-0.23478235215283588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8">
        <v>4089.69</v>
      </c>
      <c r="E49" s="3"/>
      <c r="F49" s="7">
        <f t="shared" si="12"/>
        <v>2.3867571508783551E-2</v>
      </c>
      <c r="G49" s="3"/>
      <c r="H49" s="8">
        <v>3444.32</v>
      </c>
      <c r="I49" s="3"/>
      <c r="J49" s="7">
        <f t="shared" si="13"/>
        <v>3.2281017451123731E-2</v>
      </c>
      <c r="K49" s="3"/>
      <c r="L49" s="8">
        <f t="shared" si="14"/>
        <v>645.36999999999989</v>
      </c>
      <c r="M49" s="3"/>
      <c r="N49" s="7">
        <f t="shared" si="15"/>
        <v>0.18737225344915684</v>
      </c>
      <c r="O49" s="12"/>
      <c r="P49" s="8">
        <v>24983.15</v>
      </c>
      <c r="Q49" s="3"/>
      <c r="R49" s="7">
        <f t="shared" si="16"/>
        <v>1.9310254346669029E-2</v>
      </c>
      <c r="S49" s="3"/>
      <c r="T49" s="8">
        <v>30137.8</v>
      </c>
      <c r="U49" s="3"/>
      <c r="V49" s="7">
        <f t="shared" si="17"/>
        <v>2.0403454623371717E-2</v>
      </c>
      <c r="W49" s="3"/>
      <c r="X49" s="8">
        <f t="shared" si="18"/>
        <v>-5154.6499999999978</v>
      </c>
      <c r="Y49" s="3"/>
      <c r="Z49" s="7">
        <f t="shared" si="19"/>
        <v>-0.17103604111779885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8">
        <v>2308.37</v>
      </c>
      <c r="E50" s="3"/>
      <c r="F50" s="7">
        <f t="shared" si="12"/>
        <v>1.3471726718585195E-2</v>
      </c>
      <c r="G50" s="3"/>
      <c r="H50" s="8">
        <v>0</v>
      </c>
      <c r="I50" s="3"/>
      <c r="J50" s="7">
        <f t="shared" si="13"/>
        <v>0</v>
      </c>
      <c r="K50" s="3"/>
      <c r="L50" s="8">
        <f t="shared" si="14"/>
        <v>2308.37</v>
      </c>
      <c r="M50" s="3"/>
      <c r="N50" s="7">
        <f t="shared" si="15"/>
        <v>0</v>
      </c>
      <c r="O50" s="12"/>
      <c r="P50" s="8">
        <v>10542.18</v>
      </c>
      <c r="Q50" s="3"/>
      <c r="R50" s="7">
        <f t="shared" si="16"/>
        <v>8.1483790942442121E-3</v>
      </c>
      <c r="S50" s="3"/>
      <c r="T50" s="8">
        <v>0</v>
      </c>
      <c r="U50" s="3"/>
      <c r="V50" s="7">
        <f t="shared" si="17"/>
        <v>0</v>
      </c>
      <c r="W50" s="3"/>
      <c r="X50" s="8">
        <f t="shared" si="18"/>
        <v>10542.18</v>
      </c>
      <c r="Y50" s="3"/>
      <c r="Z50" s="7">
        <f t="shared" si="19"/>
        <v>0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8">
        <v>1517.19</v>
      </c>
      <c r="E52" s="3"/>
      <c r="F52" s="7">
        <f t="shared" si="12"/>
        <v>8.8543730251953862E-3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1517.19</v>
      </c>
      <c r="M52" s="3"/>
      <c r="N52" s="7">
        <f t="shared" si="15"/>
        <v>0</v>
      </c>
      <c r="O52" s="12"/>
      <c r="P52" s="8">
        <v>24453.09</v>
      </c>
      <c r="Q52" s="3"/>
      <c r="R52" s="7">
        <f t="shared" si="16"/>
        <v>1.8900554472193815E-2</v>
      </c>
      <c r="S52" s="3"/>
      <c r="T52" s="8">
        <v>10176</v>
      </c>
      <c r="U52" s="3"/>
      <c r="V52" s="7">
        <f t="shared" si="17"/>
        <v>6.8892073823381469E-3</v>
      </c>
      <c r="W52" s="3"/>
      <c r="X52" s="8">
        <f t="shared" si="18"/>
        <v>14277.09</v>
      </c>
      <c r="Y52" s="3"/>
      <c r="Z52" s="7">
        <f t="shared" si="19"/>
        <v>1.4030159198113208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4639.5200000000004</v>
      </c>
      <c r="I53" s="3"/>
      <c r="J53" s="7">
        <f t="shared" si="13"/>
        <v>4.3482726948958744E-2</v>
      </c>
      <c r="K53" s="3"/>
      <c r="L53" s="8">
        <f t="shared" si="14"/>
        <v>-4639.5200000000004</v>
      </c>
      <c r="M53" s="3"/>
      <c r="N53" s="7">
        <f t="shared" si="15"/>
        <v>-1</v>
      </c>
      <c r="O53" s="12"/>
      <c r="P53" s="8">
        <v>6145.63</v>
      </c>
      <c r="Q53" s="3"/>
      <c r="R53" s="7">
        <f t="shared" si="16"/>
        <v>4.7501487370695678E-3</v>
      </c>
      <c r="S53" s="3"/>
      <c r="T53" s="8">
        <v>30150.74</v>
      </c>
      <c r="U53" s="3"/>
      <c r="V53" s="7">
        <f t="shared" si="17"/>
        <v>2.041221507379698E-2</v>
      </c>
      <c r="W53" s="3"/>
      <c r="X53" s="8">
        <f t="shared" si="18"/>
        <v>-24005.11</v>
      </c>
      <c r="Y53" s="3"/>
      <c r="Z53" s="7">
        <f t="shared" si="19"/>
        <v>-0.79616984525089596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30.19</v>
      </c>
      <c r="E56" s="2"/>
      <c r="F56" s="6">
        <f t="shared" si="12"/>
        <v>1.7618987841381021E-4</v>
      </c>
      <c r="G56" s="2"/>
      <c r="H56" s="2">
        <f>SUM(OSRRefH22_2x_0)</f>
        <v>200</v>
      </c>
      <c r="I56" s="2"/>
      <c r="J56" s="6">
        <f t="shared" si="13"/>
        <v>1.8744493804944797E-3</v>
      </c>
      <c r="K56" s="2"/>
      <c r="L56" s="2">
        <f t="shared" si="14"/>
        <v>-169.81</v>
      </c>
      <c r="M56" s="2"/>
      <c r="N56" s="6">
        <f t="shared" si="15"/>
        <v>-0.84904999999999997</v>
      </c>
      <c r="O56" s="14"/>
      <c r="P56" s="2">
        <f>SUM(OSRRefP22_2x_0)</f>
        <v>176.99</v>
      </c>
      <c r="Q56" s="2"/>
      <c r="R56" s="6">
        <f t="shared" si="16"/>
        <v>1.3680108060100315E-4</v>
      </c>
      <c r="S56" s="2"/>
      <c r="T56" s="2">
        <f>SUM(OSRRefT22_2x_0)</f>
        <v>1600</v>
      </c>
      <c r="U56" s="2"/>
      <c r="V56" s="6">
        <f t="shared" si="17"/>
        <v>1.083208707914803E-3</v>
      </c>
      <c r="W56" s="2"/>
      <c r="X56" s="2">
        <f t="shared" si="18"/>
        <v>-1423.01</v>
      </c>
      <c r="Y56" s="2"/>
      <c r="Z56" s="6">
        <f t="shared" si="19"/>
        <v>-0.88938125000000001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8">
        <v>30.19</v>
      </c>
      <c r="E57" s="3"/>
      <c r="F57" s="7">
        <f t="shared" si="12"/>
        <v>1.7618987841381021E-4</v>
      </c>
      <c r="G57" s="3"/>
      <c r="H57" s="8">
        <v>200</v>
      </c>
      <c r="I57" s="3"/>
      <c r="J57" s="7">
        <f t="shared" si="13"/>
        <v>1.8744493804944797E-3</v>
      </c>
      <c r="K57" s="3"/>
      <c r="L57" s="8">
        <f t="shared" si="14"/>
        <v>-169.81</v>
      </c>
      <c r="M57" s="3"/>
      <c r="N57" s="7">
        <f t="shared" si="15"/>
        <v>-0.84904999999999997</v>
      </c>
      <c r="O57" s="12"/>
      <c r="P57" s="8">
        <v>176.99</v>
      </c>
      <c r="Q57" s="3"/>
      <c r="R57" s="7">
        <f t="shared" si="16"/>
        <v>1.3680108060100315E-4</v>
      </c>
      <c r="S57" s="3"/>
      <c r="T57" s="8">
        <v>1600</v>
      </c>
      <c r="U57" s="3"/>
      <c r="V57" s="7">
        <f t="shared" si="17"/>
        <v>1.083208707914803E-3</v>
      </c>
      <c r="W57" s="3"/>
      <c r="X57" s="8">
        <f t="shared" si="18"/>
        <v>-1423.01</v>
      </c>
      <c r="Y57" s="3"/>
      <c r="Z57" s="7">
        <f t="shared" si="19"/>
        <v>-0.88938125000000001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1.6366574860009584E-3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2243.52</v>
      </c>
      <c r="Q58" s="2"/>
      <c r="R58" s="6">
        <f t="shared" si="16"/>
        <v>1.7340864475391972E-3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2243.52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","6322"," - ","EQUIPMENT DEPRECIATION EXPENSE")</f>
        <v xml:space="preserve">          6322 - EQUIPMENT DEPRECIATION EXPENSE</v>
      </c>
      <c r="C59" s="12"/>
      <c r="D59" s="8">
        <v>280.44</v>
      </c>
      <c r="E59" s="3"/>
      <c r="F59" s="7">
        <f t="shared" si="12"/>
        <v>1.6366574860009584E-3</v>
      </c>
      <c r="G59" s="3"/>
      <c r="H59" s="8"/>
      <c r="I59" s="3"/>
      <c r="J59" s="7">
        <f t="shared" si="13"/>
        <v>0</v>
      </c>
      <c r="K59" s="3"/>
      <c r="L59" s="8">
        <f t="shared" si="14"/>
        <v>280.44</v>
      </c>
      <c r="M59" s="3"/>
      <c r="N59" s="7">
        <f t="shared" si="15"/>
        <v>0</v>
      </c>
      <c r="O59" s="12"/>
      <c r="P59" s="8">
        <v>2243.52</v>
      </c>
      <c r="Q59" s="3"/>
      <c r="R59" s="7">
        <f t="shared" si="16"/>
        <v>1.7340864475391972E-3</v>
      </c>
      <c r="S59" s="3"/>
      <c r="T59" s="8"/>
      <c r="U59" s="3"/>
      <c r="V59" s="7">
        <f t="shared" si="17"/>
        <v>0</v>
      </c>
      <c r="W59" s="3"/>
      <c r="X59" s="8">
        <f t="shared" si="18"/>
        <v>2243.52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1.8744493804944798E-4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160</v>
      </c>
      <c r="U60" s="2"/>
      <c r="V60" s="6">
        <f t="shared" si="17"/>
        <v>1.083208707914803E-4</v>
      </c>
      <c r="W60" s="2"/>
      <c r="X60" s="2">
        <f t="shared" si="18"/>
        <v>-160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20</v>
      </c>
      <c r="I61" s="3"/>
      <c r="J61" s="7">
        <f t="shared" si="13"/>
        <v>1.8744493804944798E-4</v>
      </c>
      <c r="K61" s="3"/>
      <c r="L61" s="8">
        <f t="shared" si="14"/>
        <v>-20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160</v>
      </c>
      <c r="U61" s="3"/>
      <c r="V61" s="7">
        <f t="shared" si="17"/>
        <v>1.083208707914803E-4</v>
      </c>
      <c r="W61" s="3"/>
      <c r="X61" s="8">
        <f t="shared" si="18"/>
        <v>-160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1.4058370353708599E-4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9.4398078839485341E-5</v>
      </c>
      <c r="S62" s="2"/>
      <c r="T62" s="2">
        <f>SUM(OSRRefT22_5x_0)</f>
        <v>120</v>
      </c>
      <c r="U62" s="2"/>
      <c r="V62" s="6">
        <f t="shared" si="17"/>
        <v>8.1240653093610213E-5</v>
      </c>
      <c r="W62" s="2"/>
      <c r="X62" s="2">
        <f t="shared" si="18"/>
        <v>2.1299999999999955</v>
      </c>
      <c r="Y62" s="2"/>
      <c r="Z62" s="6">
        <f t="shared" si="19"/>
        <v>1.7749999999999964E-2</v>
      </c>
    </row>
    <row r="63" spans="1:26" s="70" customFormat="1" ht="15" hidden="1" customHeight="1" outlineLevel="2" x14ac:dyDescent="0.3">
      <c r="A63" s="26"/>
      <c r="B63" s="12" t="str">
        <f>CONCATENATE("          ","6305"," - ","FREIGHT OUT")</f>
        <v xml:space="preserve">          6305 - FREIGHT OUT</v>
      </c>
      <c r="C63" s="12"/>
      <c r="D63" s="8"/>
      <c r="E63" s="3"/>
      <c r="F63" s="7">
        <f t="shared" si="12"/>
        <v>0</v>
      </c>
      <c r="G63" s="3"/>
      <c r="H63" s="8">
        <v>15</v>
      </c>
      <c r="I63" s="3"/>
      <c r="J63" s="7">
        <f t="shared" si="13"/>
        <v>1.4058370353708599E-4</v>
      </c>
      <c r="K63" s="3"/>
      <c r="L63" s="8">
        <f t="shared" si="14"/>
        <v>-15</v>
      </c>
      <c r="M63" s="3"/>
      <c r="N63" s="7">
        <f t="shared" si="15"/>
        <v>-1</v>
      </c>
      <c r="O63" s="12"/>
      <c r="P63" s="8">
        <v>122.13</v>
      </c>
      <c r="Q63" s="3"/>
      <c r="R63" s="7">
        <f t="shared" si="16"/>
        <v>9.4398078839485341E-5</v>
      </c>
      <c r="S63" s="3"/>
      <c r="T63" s="8">
        <v>120</v>
      </c>
      <c r="U63" s="3"/>
      <c r="V63" s="7">
        <f t="shared" si="17"/>
        <v>8.1240653093610213E-5</v>
      </c>
      <c r="W63" s="3"/>
      <c r="X63" s="8">
        <f t="shared" si="18"/>
        <v>2.1299999999999955</v>
      </c>
      <c r="Y63" s="3"/>
      <c r="Z63" s="7">
        <f t="shared" si="19"/>
        <v>1.7749999999999964E-2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30</v>
      </c>
      <c r="I64" s="2"/>
      <c r="J64" s="6">
        <f t="shared" si="13"/>
        <v>2.8116740707417198E-4</v>
      </c>
      <c r="K64" s="2"/>
      <c r="L64" s="2">
        <f t="shared" si="14"/>
        <v>-30</v>
      </c>
      <c r="M64" s="2"/>
      <c r="N64" s="6">
        <f t="shared" si="15"/>
        <v>-1</v>
      </c>
      <c r="O64" s="14"/>
      <c r="P64" s="2">
        <f>SUM(OSRRefP22_6x_0)</f>
        <v>0</v>
      </c>
      <c r="Q64" s="2"/>
      <c r="R64" s="6">
        <f t="shared" si="16"/>
        <v>0</v>
      </c>
      <c r="S64" s="2"/>
      <c r="T64" s="2">
        <f>SUM(OSRRefT22_6x_0)</f>
        <v>240</v>
      </c>
      <c r="U64" s="2"/>
      <c r="V64" s="6">
        <f t="shared" si="17"/>
        <v>1.6248130618722043E-4</v>
      </c>
      <c r="W64" s="2"/>
      <c r="X64" s="2">
        <f t="shared" si="18"/>
        <v>-240</v>
      </c>
      <c r="Y64" s="2"/>
      <c r="Z64" s="6">
        <f t="shared" si="19"/>
        <v>-1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8"/>
      <c r="E65" s="3"/>
      <c r="F65" s="7">
        <f t="shared" si="12"/>
        <v>0</v>
      </c>
      <c r="G65" s="3"/>
      <c r="H65" s="8">
        <v>30</v>
      </c>
      <c r="I65" s="3"/>
      <c r="J65" s="7">
        <f t="shared" si="13"/>
        <v>2.8116740707417198E-4</v>
      </c>
      <c r="K65" s="3"/>
      <c r="L65" s="8">
        <f t="shared" si="14"/>
        <v>-30</v>
      </c>
      <c r="M65" s="3"/>
      <c r="N65" s="7">
        <f t="shared" si="15"/>
        <v>-1</v>
      </c>
      <c r="O65" s="12"/>
      <c r="P65" s="8"/>
      <c r="Q65" s="3"/>
      <c r="R65" s="7">
        <f t="shared" si="16"/>
        <v>0</v>
      </c>
      <c r="S65" s="3"/>
      <c r="T65" s="8">
        <v>240</v>
      </c>
      <c r="U65" s="3"/>
      <c r="V65" s="7">
        <f t="shared" si="17"/>
        <v>1.6248130618722043E-4</v>
      </c>
      <c r="W65" s="3"/>
      <c r="X65" s="8">
        <f t="shared" si="18"/>
        <v>-240</v>
      </c>
      <c r="Y65" s="3"/>
      <c r="Z65" s="7">
        <f t="shared" si="19"/>
        <v>-1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590</v>
      </c>
      <c r="E66" s="2"/>
      <c r="F66" s="6">
        <f t="shared" si="12"/>
        <v>3.4432602936120575E-3</v>
      </c>
      <c r="G66" s="2"/>
      <c r="H66" s="2">
        <f>SUM(OSRRefH22_7x_0)</f>
        <v>590</v>
      </c>
      <c r="I66" s="2"/>
      <c r="J66" s="6">
        <f t="shared" si="13"/>
        <v>5.5296256724587153E-3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7200</v>
      </c>
      <c r="Q66" s="2"/>
      <c r="R66" s="6">
        <f t="shared" si="16"/>
        <v>5.5651041320256651E-3</v>
      </c>
      <c r="S66" s="2"/>
      <c r="T66" s="2">
        <f>SUM(OSRRefT22_7x_0)</f>
        <v>7910</v>
      </c>
      <c r="U66" s="2"/>
      <c r="V66" s="6">
        <f t="shared" si="17"/>
        <v>5.3551130497538069E-3</v>
      </c>
      <c r="W66" s="2"/>
      <c r="X66" s="2">
        <f t="shared" si="18"/>
        <v>-710</v>
      </c>
      <c r="Y66" s="2"/>
      <c r="Z66" s="6">
        <f t="shared" si="19"/>
        <v>-8.9759797724399501E-2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8">
        <v>590</v>
      </c>
      <c r="E67" s="3"/>
      <c r="F67" s="7">
        <f t="shared" si="12"/>
        <v>3.4432602936120575E-3</v>
      </c>
      <c r="G67" s="3"/>
      <c r="H67" s="8">
        <v>590</v>
      </c>
      <c r="I67" s="3"/>
      <c r="J67" s="7">
        <f t="shared" si="13"/>
        <v>5.5296256724587153E-3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>
        <v>7200</v>
      </c>
      <c r="Q67" s="3"/>
      <c r="R67" s="7">
        <f t="shared" si="16"/>
        <v>5.5651041320256651E-3</v>
      </c>
      <c r="S67" s="3"/>
      <c r="T67" s="8">
        <v>7910</v>
      </c>
      <c r="U67" s="3"/>
      <c r="V67" s="7">
        <f t="shared" si="17"/>
        <v>5.3551130497538069E-3</v>
      </c>
      <c r="W67" s="3"/>
      <c r="X67" s="8">
        <f t="shared" si="18"/>
        <v>-710</v>
      </c>
      <c r="Y67" s="3"/>
      <c r="Z67" s="7">
        <f t="shared" si="19"/>
        <v>-8.9759797724399501E-2</v>
      </c>
    </row>
    <row r="68" spans="1:26" s="69" customFormat="1" ht="15" customHeight="1" outlineLevel="1" collapsed="1" x14ac:dyDescent="0.3">
      <c r="A68" s="25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SUM(OSRRefD22_8x_0)</f>
        <v>63.25</v>
      </c>
      <c r="E68" s="2"/>
      <c r="F68" s="6">
        <f t="shared" si="12"/>
        <v>3.6912917554400446E-4</v>
      </c>
      <c r="G68" s="2"/>
      <c r="H68" s="2">
        <f>SUM(OSRRefH22_8x_0)</f>
        <v>310</v>
      </c>
      <c r="I68" s="2"/>
      <c r="J68" s="6">
        <f t="shared" si="13"/>
        <v>2.9053965397664435E-3</v>
      </c>
      <c r="K68" s="2"/>
      <c r="L68" s="2">
        <f t="shared" si="14"/>
        <v>-246.75</v>
      </c>
      <c r="M68" s="2"/>
      <c r="N68" s="6">
        <f t="shared" si="15"/>
        <v>-0.79596774193548392</v>
      </c>
      <c r="O68" s="14"/>
      <c r="P68" s="2">
        <f>SUM(OSRRefP22_8x_0)</f>
        <v>3381.75</v>
      </c>
      <c r="Q68" s="2"/>
      <c r="R68" s="6">
        <f t="shared" si="16"/>
        <v>2.6138598470108049E-3</v>
      </c>
      <c r="S68" s="2"/>
      <c r="T68" s="2">
        <f>SUM(OSRRefT22_8x_0)</f>
        <v>2480</v>
      </c>
      <c r="U68" s="2"/>
      <c r="V68" s="6">
        <f t="shared" si="17"/>
        <v>1.6789734972679445E-3</v>
      </c>
      <c r="W68" s="2"/>
      <c r="X68" s="2">
        <f t="shared" si="18"/>
        <v>901.75</v>
      </c>
      <c r="Y68" s="2"/>
      <c r="Z68" s="6">
        <f t="shared" si="19"/>
        <v>0.36360887096774192</v>
      </c>
    </row>
    <row r="69" spans="1:26" s="70" customFormat="1" ht="15" hidden="1" customHeight="1" outlineLevel="2" x14ac:dyDescent="0.3">
      <c r="A69" s="26"/>
      <c r="B69" s="12" t="str">
        <f>CONCATENATE("          ","6241"," - ","OFFICE EXPENSE")</f>
        <v xml:space="preserve">          6241 - OFFICE EXPENSE</v>
      </c>
      <c r="C69" s="12"/>
      <c r="D69" s="8">
        <v>63.25</v>
      </c>
      <c r="E69" s="3"/>
      <c r="F69" s="7">
        <f t="shared" si="12"/>
        <v>3.6912917554400446E-4</v>
      </c>
      <c r="G69" s="3"/>
      <c r="H69" s="8">
        <v>110</v>
      </c>
      <c r="I69" s="3"/>
      <c r="J69" s="7">
        <f t="shared" si="13"/>
        <v>1.0309471592719638E-3</v>
      </c>
      <c r="K69" s="3"/>
      <c r="L69" s="8">
        <f t="shared" si="14"/>
        <v>-46.75</v>
      </c>
      <c r="M69" s="3"/>
      <c r="N69" s="7">
        <f t="shared" si="15"/>
        <v>-0.42499999999999999</v>
      </c>
      <c r="O69" s="12"/>
      <c r="P69" s="8">
        <v>469.75</v>
      </c>
      <c r="Q69" s="3"/>
      <c r="R69" s="7">
        <f t="shared" si="16"/>
        <v>3.6308439805820229E-4</v>
      </c>
      <c r="S69" s="3"/>
      <c r="T69" s="8">
        <v>880</v>
      </c>
      <c r="U69" s="3"/>
      <c r="V69" s="7">
        <f t="shared" si="17"/>
        <v>5.9576478935314159E-4</v>
      </c>
      <c r="W69" s="3"/>
      <c r="X69" s="8">
        <f t="shared" si="18"/>
        <v>-410.25</v>
      </c>
      <c r="Y69" s="3"/>
      <c r="Z69" s="7">
        <f t="shared" si="19"/>
        <v>-0.46619318181818181</v>
      </c>
    </row>
    <row r="70" spans="1:26" s="70" customFormat="1" ht="15" hidden="1" customHeight="1" outlineLevel="2" x14ac:dyDescent="0.3">
      <c r="A70" s="26"/>
      <c r="B70" s="12" t="str">
        <f>CONCATENATE("          ","6247"," - ","STORE SUPPLIES")</f>
        <v xml:space="preserve">          6247 - STORE SUPPLIES</v>
      </c>
      <c r="C70" s="12"/>
      <c r="D70" s="8"/>
      <c r="E70" s="3"/>
      <c r="F70" s="7">
        <f t="shared" si="12"/>
        <v>0</v>
      </c>
      <c r="G70" s="3"/>
      <c r="H70" s="8">
        <v>200</v>
      </c>
      <c r="I70" s="3"/>
      <c r="J70" s="7">
        <f t="shared" si="13"/>
        <v>1.8744493804944797E-3</v>
      </c>
      <c r="K70" s="3"/>
      <c r="L70" s="8">
        <f t="shared" si="14"/>
        <v>-200</v>
      </c>
      <c r="M70" s="3"/>
      <c r="N70" s="7">
        <f t="shared" si="15"/>
        <v>-1</v>
      </c>
      <c r="O70" s="12"/>
      <c r="P70" s="8">
        <v>2912</v>
      </c>
      <c r="Q70" s="3"/>
      <c r="R70" s="7">
        <f t="shared" si="16"/>
        <v>2.2507754489526025E-3</v>
      </c>
      <c r="S70" s="3"/>
      <c r="T70" s="8">
        <v>1600</v>
      </c>
      <c r="U70" s="3"/>
      <c r="V70" s="7">
        <f t="shared" si="17"/>
        <v>1.083208707914803E-3</v>
      </c>
      <c r="W70" s="3"/>
      <c r="X70" s="8">
        <f t="shared" si="18"/>
        <v>1312</v>
      </c>
      <c r="Y70" s="3"/>
      <c r="Z70" s="7">
        <f t="shared" si="19"/>
        <v>0.82</v>
      </c>
    </row>
    <row r="71" spans="1:26" s="69" customFormat="1" ht="15" customHeight="1" outlineLevel="1" collapsed="1" x14ac:dyDescent="0.3">
      <c r="A71" s="25"/>
      <c r="B71" s="14" t="str">
        <f>CONCATENATE("     ","Telephone/Data Lines                              ")</f>
        <v xml:space="preserve">     Telephone/Data Lines                              </v>
      </c>
      <c r="C71" s="14"/>
      <c r="D71" s="2">
        <f>SUM(OSRRefD22_9x_0)</f>
        <v>179.73</v>
      </c>
      <c r="E71" s="2"/>
      <c r="F71" s="6">
        <f t="shared" si="12"/>
        <v>1.0489104619845679E-3</v>
      </c>
      <c r="G71" s="2"/>
      <c r="H71" s="2">
        <f>SUM(OSRRefH22_9x_0)</f>
        <v>325</v>
      </c>
      <c r="I71" s="2"/>
      <c r="J71" s="6">
        <f t="shared" si="13"/>
        <v>3.0459802433035294E-3</v>
      </c>
      <c r="K71" s="2"/>
      <c r="L71" s="2">
        <f t="shared" si="14"/>
        <v>-145.27000000000001</v>
      </c>
      <c r="M71" s="2"/>
      <c r="N71" s="6">
        <f t="shared" si="15"/>
        <v>-0.44698461538461542</v>
      </c>
      <c r="O71" s="14"/>
      <c r="P71" s="2">
        <f>SUM(OSRRefP22_9x_0)</f>
        <v>1645.33</v>
      </c>
      <c r="Q71" s="2"/>
      <c r="R71" s="6">
        <f t="shared" si="16"/>
        <v>1.2717267752146927E-3</v>
      </c>
      <c r="S71" s="2"/>
      <c r="T71" s="2">
        <f>SUM(OSRRefT22_9x_0)</f>
        <v>2600</v>
      </c>
      <c r="U71" s="2"/>
      <c r="V71" s="6">
        <f t="shared" si="17"/>
        <v>1.7602141503615548E-3</v>
      </c>
      <c r="W71" s="2"/>
      <c r="X71" s="2">
        <f t="shared" si="18"/>
        <v>-954.67000000000007</v>
      </c>
      <c r="Y71" s="2"/>
      <c r="Z71" s="6">
        <f t="shared" si="19"/>
        <v>-0.36718076923076925</v>
      </c>
    </row>
    <row r="72" spans="1:26" s="70" customFormat="1" ht="15" hidden="1" customHeight="1" outlineLevel="2" x14ac:dyDescent="0.3">
      <c r="A72" s="26"/>
      <c r="B72" s="12" t="str">
        <f>CONCATENATE("          ","6309"," - ","TELEPHONE")</f>
        <v xml:space="preserve">          6309 - TELEPHONE</v>
      </c>
      <c r="C72" s="12"/>
      <c r="D72" s="8">
        <v>179.73</v>
      </c>
      <c r="E72" s="3"/>
      <c r="F72" s="7">
        <f t="shared" si="12"/>
        <v>1.0489104619845679E-3</v>
      </c>
      <c r="G72" s="3"/>
      <c r="H72" s="8">
        <v>325</v>
      </c>
      <c r="I72" s="3"/>
      <c r="J72" s="7">
        <f t="shared" si="13"/>
        <v>3.0459802433035294E-3</v>
      </c>
      <c r="K72" s="3"/>
      <c r="L72" s="8">
        <f t="shared" si="14"/>
        <v>-145.27000000000001</v>
      </c>
      <c r="M72" s="3"/>
      <c r="N72" s="7">
        <f t="shared" si="15"/>
        <v>-0.44698461538461542</v>
      </c>
      <c r="O72" s="12"/>
      <c r="P72" s="8">
        <v>1645.33</v>
      </c>
      <c r="Q72" s="3"/>
      <c r="R72" s="7">
        <f t="shared" si="16"/>
        <v>1.2717267752146927E-3</v>
      </c>
      <c r="S72" s="3"/>
      <c r="T72" s="8">
        <v>2600</v>
      </c>
      <c r="U72" s="3"/>
      <c r="V72" s="7">
        <f t="shared" si="17"/>
        <v>1.7602141503615548E-3</v>
      </c>
      <c r="W72" s="3"/>
      <c r="X72" s="8">
        <f t="shared" si="18"/>
        <v>-954.67000000000007</v>
      </c>
      <c r="Y72" s="3"/>
      <c r="Z72" s="7">
        <f t="shared" si="19"/>
        <v>-0.36718076923076925</v>
      </c>
    </row>
    <row r="73" spans="1:26" s="65" customFormat="1" ht="15" customHeight="1" x14ac:dyDescent="0.3">
      <c r="A73" s="35"/>
      <c r="B73" s="35"/>
      <c r="C73" s="35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35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63" customFormat="1" ht="15" customHeight="1" collapsed="1" x14ac:dyDescent="0.3">
      <c r="A74" s="11"/>
      <c r="B74" s="27" t="s">
        <v>291</v>
      </c>
      <c r="C74" s="11"/>
      <c r="D74" s="5">
        <f>SUM(OSRRefD25x_0)</f>
        <v>613.26</v>
      </c>
      <c r="E74" s="5"/>
      <c r="F74" s="13">
        <f>IF(D$12=0,0,D74/D$12)</f>
        <v>3.5790064536619158E-3</v>
      </c>
      <c r="G74" s="5"/>
      <c r="H74" s="5">
        <f>SUM(OSRRefH25x_0)</f>
        <v>898</v>
      </c>
      <c r="I74" s="5"/>
      <c r="J74" s="13">
        <f>IF(H$12=0,0,H74/H$12)</f>
        <v>8.4162777184202137E-3</v>
      </c>
      <c r="K74" s="5"/>
      <c r="L74" s="5">
        <f>+D74-H74</f>
        <v>-284.74</v>
      </c>
      <c r="M74" s="5"/>
      <c r="N74" s="13">
        <f>IF(H74=0,0,L74/H74)</f>
        <v>-0.31708240534521159</v>
      </c>
      <c r="O74" s="11"/>
      <c r="P74" s="5">
        <f>SUM(OSRRefP25x_0)</f>
        <v>4454.01</v>
      </c>
      <c r="Q74" s="5"/>
      <c r="R74" s="13">
        <f>IF(P$12=0,0,P74/P$12)</f>
        <v>3.4426429798727273E-3</v>
      </c>
      <c r="S74" s="5"/>
      <c r="T74" s="5">
        <f>SUM(OSRRefT25x_0)</f>
        <v>13772</v>
      </c>
      <c r="U74" s="5"/>
      <c r="V74" s="13">
        <f>IF(T$12=0,0,T74/T$12)</f>
        <v>9.3237189533766657E-3</v>
      </c>
      <c r="W74" s="5"/>
      <c r="X74" s="5">
        <f>+P74-T74</f>
        <v>-9317.99</v>
      </c>
      <c r="Y74" s="5"/>
      <c r="Z74" s="13">
        <f>IF(T74=0,0,X74/T74)</f>
        <v>-0.67658945686900962</v>
      </c>
    </row>
    <row r="75" spans="1:26" s="70" customFormat="1" ht="15" hidden="1" customHeight="1" outlineLevel="1" x14ac:dyDescent="0.3">
      <c r="A75" s="42"/>
      <c r="B75" s="12" t="str">
        <f>CONCATENATE("          ","4187"," - ","NON-TAXABLE SALES-COMPUTER REP")</f>
        <v xml:space="preserve">          4187 - NON-TAXABLE SALES-COMPUTER REP</v>
      </c>
      <c r="C75" s="12"/>
      <c r="D75" s="3">
        <f>0</f>
        <v>0</v>
      </c>
      <c r="E75" s="3"/>
      <c r="F75" s="20">
        <f>IF(D$12=0,0,D75/D$12)</f>
        <v>0</v>
      </c>
      <c r="G75" s="3"/>
      <c r="H75" s="3"/>
      <c r="I75" s="3"/>
      <c r="J75" s="20">
        <f>IF(H$12=0,0,H75/H$12)</f>
        <v>0</v>
      </c>
      <c r="K75" s="3"/>
      <c r="L75" s="3">
        <f>+D75-H75</f>
        <v>0</v>
      </c>
      <c r="M75" s="3"/>
      <c r="N75" s="20">
        <f>IF(H75=0,0,L75/H75)</f>
        <v>0</v>
      </c>
      <c r="O75" s="12"/>
      <c r="P75" s="3">
        <f>0</f>
        <v>0</v>
      </c>
      <c r="Q75" s="3"/>
      <c r="R75" s="20">
        <f>IF(P$12=0,0,P75/P$12)</f>
        <v>0</v>
      </c>
      <c r="S75" s="3"/>
      <c r="T75" s="3"/>
      <c r="U75" s="3"/>
      <c r="V75" s="20">
        <f>IF(T$12=0,0,T75/T$12)</f>
        <v>0</v>
      </c>
      <c r="W75" s="3"/>
      <c r="X75" s="3">
        <f>+P75-T75</f>
        <v>0</v>
      </c>
      <c r="Y75" s="3"/>
      <c r="Z75" s="20">
        <f>IF(T75=0,0,X75/T75)</f>
        <v>0</v>
      </c>
    </row>
    <row r="76" spans="1:26" s="70" customFormat="1" ht="15" hidden="1" customHeight="1" outlineLevel="1" x14ac:dyDescent="0.3">
      <c r="A76" s="42"/>
      <c r="B76" s="12" t="str">
        <f>CONCATENATE("          ","9087"," - ","")</f>
        <v xml:space="preserve">          9087 - </v>
      </c>
      <c r="C76" s="12"/>
      <c r="D76" s="3">
        <f>--576.08</f>
        <v>576.08000000000004</v>
      </c>
      <c r="E76" s="3"/>
      <c r="F76" s="20">
        <f>IF(D$12=0,0,D76/D$12)</f>
        <v>3.3620226948203971E-3</v>
      </c>
      <c r="G76" s="3"/>
      <c r="H76" s="3"/>
      <c r="I76" s="3"/>
      <c r="J76" s="20">
        <f>IF(H$12=0,0,H76/H$12)</f>
        <v>0</v>
      </c>
      <c r="K76" s="3"/>
      <c r="L76" s="3">
        <f>+D76-H76</f>
        <v>576.08000000000004</v>
      </c>
      <c r="M76" s="3"/>
      <c r="N76" s="20">
        <f>IF(H76=0,0,L76/H76)</f>
        <v>0</v>
      </c>
      <c r="O76" s="12"/>
      <c r="P76" s="3">
        <f>--2207.09</f>
        <v>2207.09</v>
      </c>
      <c r="Q76" s="3"/>
      <c r="R76" s="20">
        <f>IF(P$12=0,0,P76/P$12)</f>
        <v>1.7059285664934064E-3</v>
      </c>
      <c r="S76" s="3"/>
      <c r="T76" s="3"/>
      <c r="U76" s="3"/>
      <c r="V76" s="20">
        <f>IF(T$12=0,0,T76/T$12)</f>
        <v>0</v>
      </c>
      <c r="W76" s="3"/>
      <c r="X76" s="3">
        <f>+P76-T76</f>
        <v>2207.09</v>
      </c>
      <c r="Y76" s="3"/>
      <c r="Z76" s="20">
        <f>IF(T76=0,0,X76/T76)</f>
        <v>0</v>
      </c>
    </row>
    <row r="77" spans="1:26" s="70" customFormat="1" ht="15" hidden="1" customHeight="1" outlineLevel="1" x14ac:dyDescent="0.3">
      <c r="A77" s="42"/>
      <c r="B77" s="12" t="str">
        <f>CONCATENATE("          ","9150"," - ","MISC. INCOME")</f>
        <v xml:space="preserve">          9150 - MISC. INCOME</v>
      </c>
      <c r="C77" s="12"/>
      <c r="D77" s="3">
        <f>--37.18</f>
        <v>37.18</v>
      </c>
      <c r="E77" s="3"/>
      <c r="F77" s="20">
        <f>IF(D$12=0,0,D77/D$12)</f>
        <v>2.1698375884151916E-4</v>
      </c>
      <c r="G77" s="3"/>
      <c r="H77" s="3">
        <v>898</v>
      </c>
      <c r="I77" s="3"/>
      <c r="J77" s="20">
        <f>IF(H$12=0,0,H77/H$12)</f>
        <v>8.4162777184202137E-3</v>
      </c>
      <c r="K77" s="3"/>
      <c r="L77" s="3">
        <f>+D77-H77</f>
        <v>-860.82</v>
      </c>
      <c r="M77" s="3"/>
      <c r="N77" s="20">
        <f>IF(H77=0,0,L77/H77)</f>
        <v>-0.958596881959911</v>
      </c>
      <c r="O77" s="12"/>
      <c r="P77" s="3">
        <f>--2246.92</f>
        <v>2246.92</v>
      </c>
      <c r="Q77" s="3"/>
      <c r="R77" s="20">
        <f>IF(P$12=0,0,P77/P$12)</f>
        <v>1.7367144133793207E-3</v>
      </c>
      <c r="S77" s="3"/>
      <c r="T77" s="3">
        <v>13772</v>
      </c>
      <c r="U77" s="3"/>
      <c r="V77" s="20">
        <f>IF(T$12=0,0,T77/T$12)</f>
        <v>9.3237189533766657E-3</v>
      </c>
      <c r="W77" s="3"/>
      <c r="X77" s="3">
        <f>+P77-T77</f>
        <v>-11525.08</v>
      </c>
      <c r="Y77" s="3"/>
      <c r="Z77" s="20">
        <f>IF(T77=0,0,X77/T77)</f>
        <v>-0.83684867847807143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292</v>
      </c>
      <c r="C79" s="28"/>
      <c r="D79" s="21">
        <f>+D31-D33+D74</f>
        <v>4313.6800000000148</v>
      </c>
      <c r="E79" s="15"/>
      <c r="F79" s="22">
        <f>IF(D$12=0,0,D79/D$12)</f>
        <v>2.517478485313307E-2</v>
      </c>
      <c r="G79" s="15"/>
      <c r="H79" s="21">
        <f>+H31-H33+H74</f>
        <v>-2285.0134888700013</v>
      </c>
      <c r="I79" s="15"/>
      <c r="J79" s="22">
        <f>IF(H$12=0,0,H79/H$12)</f>
        <v>-2.1415710593169518E-2</v>
      </c>
      <c r="K79" s="16"/>
      <c r="L79" s="21">
        <f>+D79-H79</f>
        <v>6598.6934888700162</v>
      </c>
      <c r="M79" s="16"/>
      <c r="N79" s="22">
        <f>IF(H79=0,0,L79/H79)</f>
        <v>-2.8878138011050614</v>
      </c>
      <c r="O79" s="27"/>
      <c r="P79" s="21">
        <f>+P31-P33+P74</f>
        <v>76376.369999999908</v>
      </c>
      <c r="Q79" s="15"/>
      <c r="R79" s="22">
        <f>IF(P$12=0,0,P79/P$12)</f>
        <v>5.9033673927238968E-2</v>
      </c>
      <c r="S79" s="15"/>
      <c r="T79" s="21">
        <f>+T31-T33+T74</f>
        <v>40933.131854387495</v>
      </c>
      <c r="U79" s="15"/>
      <c r="V79" s="22">
        <f>IF(T$12=0,0,T79/T$12)</f>
        <v>2.7711953041810837E-2</v>
      </c>
      <c r="W79" s="16"/>
      <c r="X79" s="21">
        <f>+P79-T79</f>
        <v>35443.238145612413</v>
      </c>
      <c r="Y79" s="16"/>
      <c r="Z79" s="22">
        <f>IF(T79=0,0,X79/T79)</f>
        <v>0.86588141537020857</v>
      </c>
    </row>
    <row r="80" spans="1:26" ht="15" customHeight="1" x14ac:dyDescent="0.3">
      <c r="A80" s="10"/>
      <c r="B80" s="11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49"/>
      <c r="B81" s="11" t="s">
        <v>293</v>
      </c>
      <c r="C81" s="11"/>
      <c r="D81" s="5">
        <v>12919.92</v>
      </c>
      <c r="E81" s="5"/>
      <c r="F81" s="13">
        <f>IF(D$12=0,0,D81/D$12)</f>
        <v>7.5401097512956428E-2</v>
      </c>
      <c r="G81" s="5"/>
      <c r="H81" s="5">
        <v>8866</v>
      </c>
      <c r="I81" s="5"/>
      <c r="J81" s="13">
        <f>IF(H$12=0,0,H81/H$12)</f>
        <v>8.3094341037320288E-2</v>
      </c>
      <c r="K81" s="5"/>
      <c r="L81" s="5">
        <f>+D81-H81</f>
        <v>4053.92</v>
      </c>
      <c r="M81" s="5"/>
      <c r="N81" s="13">
        <f>IF(H81=0,0,L81/H81)</f>
        <v>0.45724340175953082</v>
      </c>
      <c r="O81" s="11"/>
      <c r="P81" s="5">
        <v>161492.66</v>
      </c>
      <c r="Q81" s="5"/>
      <c r="R81" s="13">
        <f>IF(P$12=0,0,P81/P$12)</f>
        <v>0.12482270409136333</v>
      </c>
      <c r="S81" s="5"/>
      <c r="T81" s="5">
        <v>180573</v>
      </c>
      <c r="U81" s="5"/>
      <c r="V81" s="13">
        <f>IF(T$12=0,0,T81/T$12)</f>
        <v>0.12224890375893732</v>
      </c>
      <c r="W81" s="5"/>
      <c r="X81" s="5">
        <f>+P81-T81</f>
        <v>-19080.339999999997</v>
      </c>
      <c r="Y81" s="5"/>
      <c r="Z81" s="13">
        <f>IF(T81=0,0,X81/T81)</f>
        <v>-0.1056655203158833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3">
      <c r="A83" s="11"/>
      <c r="B83" s="28" t="s">
        <v>294</v>
      </c>
      <c r="C83" s="28"/>
      <c r="D83" s="33">
        <f>+D79-D81</f>
        <v>-8606.2399999999852</v>
      </c>
      <c r="E83" s="15"/>
      <c r="F83" s="32">
        <f>IF(D$12=0,0,D83/D$12)</f>
        <v>-5.0226312659823358E-2</v>
      </c>
      <c r="G83" s="15"/>
      <c r="H83" s="33">
        <f>+H79-H81</f>
        <v>-11151.013488870001</v>
      </c>
      <c r="I83" s="15"/>
      <c r="J83" s="32">
        <f>IF(H$12=0,0,H83/H$12)</f>
        <v>-0.10451005163048981</v>
      </c>
      <c r="K83" s="16"/>
      <c r="L83" s="33">
        <f>D83-H83</f>
        <v>2544.7734888700161</v>
      </c>
      <c r="M83" s="16"/>
      <c r="N83" s="32">
        <f>IF(H83=0,0,L83/H83)</f>
        <v>-0.2282100628261273</v>
      </c>
      <c r="O83" s="27"/>
      <c r="P83" s="33">
        <f>+P79-P81</f>
        <v>-85116.290000000095</v>
      </c>
      <c r="Q83" s="15"/>
      <c r="R83" s="32">
        <f>IF(P$12=0,0,P83/P$12)</f>
        <v>-6.5789030164124351E-2</v>
      </c>
      <c r="S83" s="15"/>
      <c r="T83" s="33">
        <f>+T79-T81</f>
        <v>-139639.86814561251</v>
      </c>
      <c r="U83" s="15"/>
      <c r="V83" s="32">
        <f>IF(T$12=0,0,T83/T$12)</f>
        <v>-9.4536950717126478E-2</v>
      </c>
      <c r="W83" s="16"/>
      <c r="X83" s="33">
        <f>P83-T83</f>
        <v>54523.57814561241</v>
      </c>
      <c r="Y83" s="16"/>
      <c r="Z83" s="32">
        <f>IF(T83=0,0,X83/T83)</f>
        <v>-0.39045853358123173</v>
      </c>
    </row>
    <row r="84" spans="1:26" ht="15" customHeight="1" x14ac:dyDescent="0.3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ht="15" customHeight="1" x14ac:dyDescent="0.3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3" customFormat="1" ht="15" customHeight="1" x14ac:dyDescent="0.3">
      <c r="A86" s="11"/>
      <c r="B86" s="28" t="s">
        <v>297</v>
      </c>
      <c r="C86" s="28"/>
      <c r="D86" s="34">
        <f>SUM(D83:D85)</f>
        <v>-8606.2399999999852</v>
      </c>
      <c r="E86" s="15"/>
      <c r="F86" s="30">
        <f>IF(D$12=0,0,D86/D$12)</f>
        <v>-5.0226312659823358E-2</v>
      </c>
      <c r="G86" s="15"/>
      <c r="H86" s="34">
        <f>SUM(H83:H85)</f>
        <v>-11151.013488870001</v>
      </c>
      <c r="I86" s="15"/>
      <c r="J86" s="30">
        <f>IF(H$12=0,0,H86/H$12)</f>
        <v>-0.10451005163048981</v>
      </c>
      <c r="K86" s="16"/>
      <c r="L86" s="34">
        <f>+D86-H86</f>
        <v>2544.7734888700161</v>
      </c>
      <c r="M86" s="16"/>
      <c r="N86" s="30">
        <f>IF(H86=0,0,L86/H86)</f>
        <v>-0.2282100628261273</v>
      </c>
      <c r="O86" s="27"/>
      <c r="P86" s="34">
        <f>SUM(P83:P85)</f>
        <v>-85116.290000000095</v>
      </c>
      <c r="Q86" s="15"/>
      <c r="R86" s="30">
        <f>IF(P$12=0,0,P86/P$12)</f>
        <v>-6.5789030164124351E-2</v>
      </c>
      <c r="S86" s="15"/>
      <c r="T86" s="34">
        <f>SUM(T83:T85)</f>
        <v>-139639.86814561251</v>
      </c>
      <c r="U86" s="15"/>
      <c r="V86" s="30">
        <f>IF(T$12=0,0,T86/T$12)</f>
        <v>-9.4536950717126478E-2</v>
      </c>
      <c r="W86" s="16"/>
      <c r="X86" s="34">
        <f>+P86-T86</f>
        <v>54523.57814561241</v>
      </c>
      <c r="Y86" s="16"/>
      <c r="Z86" s="30">
        <f>IF(T86=0,0,X86/T86)</f>
        <v>-0.39045853358123173</v>
      </c>
    </row>
    <row r="87" spans="1:26" ht="15" customHeight="1" x14ac:dyDescent="0.3">
      <c r="A87" s="10"/>
      <c r="C87" s="10"/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0"/>
      <c r="B88" s="57">
        <v>44634.883420983795</v>
      </c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A89" s="10"/>
      <c r="B89" s="56" t="s">
        <v>298</v>
      </c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0"/>
      <c r="B90" s="54"/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CCD57-F8AC-09C4-0DBC-73E0A56E3A4C}">
  <sheetPr>
    <tabColor rgb="FF92D050"/>
    <outlinePr summaryBelow="0" summaryRight="0"/>
  </sheetPr>
  <dimension ref="A2:Z9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","317"," - ","Computer Store")</f>
        <v>Department 317 - Computer Store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171349.23</v>
      </c>
      <c r="E12" s="5"/>
      <c r="F12" s="13"/>
      <c r="G12" s="5"/>
      <c r="H12" s="5">
        <f>SUM(OSRRefH13x_0)</f>
        <v>106698</v>
      </c>
      <c r="I12" s="5"/>
      <c r="J12" s="13"/>
      <c r="K12" s="5"/>
      <c r="L12" s="5">
        <f t="shared" ref="L12:L17" si="0">+D12-H12</f>
        <v>64651.23000000001</v>
      </c>
      <c r="M12" s="5"/>
      <c r="N12" s="13">
        <f t="shared" ref="N12:N17" si="1">IF(H12=0,0,L12/H12)</f>
        <v>0.60592729010853075</v>
      </c>
      <c r="O12" s="11"/>
      <c r="P12" s="5">
        <f>SUM(OSRRefP13x_0)</f>
        <v>1293776.3299999998</v>
      </c>
      <c r="Q12" s="5"/>
      <c r="R12" s="13"/>
      <c r="S12" s="5"/>
      <c r="T12" s="5">
        <f>SUM(OSRRefT13x_0)</f>
        <v>1477093</v>
      </c>
      <c r="U12" s="5"/>
      <c r="V12" s="13"/>
      <c r="W12" s="5"/>
      <c r="X12" s="5">
        <f t="shared" ref="X12:X17" si="2">+P12-T12</f>
        <v>-183316.67000000016</v>
      </c>
      <c r="Y12" s="5"/>
      <c r="Z12" s="13">
        <f t="shared" ref="Z12:Z17" si="3">IF(T12=0,0,X12/T12)</f>
        <v>-0.1241063832812153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--119951.35</f>
        <v>119951.35</v>
      </c>
      <c r="E13" s="3"/>
      <c r="F13" s="20"/>
      <c r="G13" s="3"/>
      <c r="H13" s="3">
        <v>94619</v>
      </c>
      <c r="I13" s="3"/>
      <c r="J13" s="20"/>
      <c r="K13" s="3"/>
      <c r="L13" s="3">
        <f t="shared" si="0"/>
        <v>25332.350000000006</v>
      </c>
      <c r="M13" s="3"/>
      <c r="N13" s="20">
        <f t="shared" si="1"/>
        <v>0.26773005421744056</v>
      </c>
      <c r="O13" s="12"/>
      <c r="P13" s="3">
        <f>--1026610.68</f>
        <v>1026610.68</v>
      </c>
      <c r="Q13" s="3"/>
      <c r="R13" s="20"/>
      <c r="S13" s="3"/>
      <c r="T13" s="3">
        <v>1382100</v>
      </c>
      <c r="U13" s="3"/>
      <c r="V13" s="20"/>
      <c r="W13" s="3"/>
      <c r="X13" s="3">
        <f t="shared" si="2"/>
        <v>-355489.31999999995</v>
      </c>
      <c r="Y13" s="3"/>
      <c r="Z13" s="20">
        <f t="shared" si="3"/>
        <v>-0.25720955068374207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--77573.66</f>
        <v>77573.66</v>
      </c>
      <c r="E14" s="3"/>
      <c r="F14" s="20"/>
      <c r="G14" s="3"/>
      <c r="H14" s="3">
        <v>12079</v>
      </c>
      <c r="I14" s="3"/>
      <c r="J14" s="20"/>
      <c r="K14" s="3"/>
      <c r="L14" s="3">
        <f t="shared" si="0"/>
        <v>65494.66</v>
      </c>
      <c r="M14" s="3"/>
      <c r="N14" s="20">
        <f t="shared" si="1"/>
        <v>5.422192234456495</v>
      </c>
      <c r="O14" s="12"/>
      <c r="P14" s="3">
        <f>--493256.87</f>
        <v>493256.87</v>
      </c>
      <c r="Q14" s="3"/>
      <c r="R14" s="20"/>
      <c r="S14" s="3"/>
      <c r="T14" s="3">
        <v>94993</v>
      </c>
      <c r="U14" s="3"/>
      <c r="V14" s="20"/>
      <c r="W14" s="3"/>
      <c r="X14" s="3">
        <f t="shared" si="2"/>
        <v>398263.87</v>
      </c>
      <c r="Y14" s="3"/>
      <c r="Z14" s="20">
        <f t="shared" si="3"/>
        <v>4.1925601886454791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-25608.66</f>
        <v>-25608.66</v>
      </c>
      <c r="E15" s="3"/>
      <c r="F15" s="20"/>
      <c r="G15" s="3"/>
      <c r="H15" s="3"/>
      <c r="I15" s="3"/>
      <c r="J15" s="20"/>
      <c r="K15" s="3"/>
      <c r="L15" s="3">
        <f t="shared" si="0"/>
        <v>-25608.66</v>
      </c>
      <c r="M15" s="3"/>
      <c r="N15" s="20">
        <f t="shared" si="1"/>
        <v>0</v>
      </c>
      <c r="O15" s="12"/>
      <c r="P15" s="3">
        <f>-224059.1</f>
        <v>-224059.1</v>
      </c>
      <c r="Q15" s="3"/>
      <c r="R15" s="20"/>
      <c r="S15" s="3"/>
      <c r="T15" s="3"/>
      <c r="U15" s="3"/>
      <c r="V15" s="20"/>
      <c r="W15" s="3"/>
      <c r="X15" s="3">
        <f t="shared" si="2"/>
        <v>-224059.1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-389.74</f>
        <v>-389.74</v>
      </c>
      <c r="E16" s="3"/>
      <c r="F16" s="20"/>
      <c r="G16" s="3"/>
      <c r="H16" s="3"/>
      <c r="I16" s="3"/>
      <c r="J16" s="20"/>
      <c r="K16" s="3"/>
      <c r="L16" s="3">
        <f t="shared" si="0"/>
        <v>-389.74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-177.38</f>
        <v>-177.38</v>
      </c>
      <c r="E17" s="3"/>
      <c r="F17" s="20"/>
      <c r="G17" s="3"/>
      <c r="H17" s="3"/>
      <c r="I17" s="3"/>
      <c r="J17" s="20"/>
      <c r="K17" s="3"/>
      <c r="L17" s="3">
        <f t="shared" si="0"/>
        <v>-177.38</v>
      </c>
      <c r="M17" s="3"/>
      <c r="N17" s="20">
        <f t="shared" si="1"/>
        <v>0</v>
      </c>
      <c r="O17" s="12"/>
      <c r="P17" s="3">
        <f>-917.6</f>
        <v>-917.6</v>
      </c>
      <c r="Q17" s="3"/>
      <c r="R17" s="20"/>
      <c r="S17" s="3"/>
      <c r="T17" s="3"/>
      <c r="U17" s="3"/>
      <c r="V17" s="20"/>
      <c r="W17" s="3"/>
      <c r="X17" s="3">
        <f t="shared" si="2"/>
        <v>-917.6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151731.15</v>
      </c>
      <c r="E19" s="5"/>
      <c r="F19" s="13">
        <f t="shared" ref="F19:F29" si="4">IF(D$12=0,0,D19/D$12)</f>
        <v>0.88550821033744931</v>
      </c>
      <c r="G19" s="5"/>
      <c r="H19" s="5">
        <f>SUM(OSRRefH16x_0)</f>
        <v>95495</v>
      </c>
      <c r="I19" s="5"/>
      <c r="J19" s="13">
        <f t="shared" ref="J19:J29" si="5">IF(H$12=0,0,H19/H$12)</f>
        <v>0.89500271795160169</v>
      </c>
      <c r="K19" s="5"/>
      <c r="L19" s="5">
        <f t="shared" ref="L19:L29" si="6">+D19-H19</f>
        <v>56236.149999999994</v>
      </c>
      <c r="M19" s="5"/>
      <c r="N19" s="13">
        <f t="shared" ref="N19:N29" si="7">IF(H19=0,0,L19/H19)</f>
        <v>0.58889104141578086</v>
      </c>
      <c r="O19" s="11"/>
      <c r="P19" s="5">
        <f>SUM(OSRRefP16x_0)</f>
        <v>1106038.9099999999</v>
      </c>
      <c r="Q19" s="5"/>
      <c r="R19" s="13">
        <f t="shared" ref="R19:R29" si="8">IF(P$12=0,0,P19/P$12)</f>
        <v>0.85489190391974479</v>
      </c>
      <c r="S19" s="5"/>
      <c r="T19" s="5">
        <f>SUM(OSRRefT16x_0)</f>
        <v>1321996</v>
      </c>
      <c r="U19" s="5"/>
      <c r="V19" s="13">
        <f t="shared" ref="V19:V29" si="9">IF(T$12=0,0,T19/T$12)</f>
        <v>0.89499848689283612</v>
      </c>
      <c r="W19" s="5"/>
      <c r="X19" s="5">
        <f t="shared" ref="X19:X29" si="10">+P19-T19</f>
        <v>-215957.09000000008</v>
      </c>
      <c r="Y19" s="5"/>
      <c r="Z19" s="13">
        <f t="shared" ref="Z19:Z29" si="11">IF(T19=0,0,X19/T19)</f>
        <v>-0.16335684071661344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148585.57</v>
      </c>
      <c r="E20" s="3"/>
      <c r="F20" s="20">
        <f t="shared" si="4"/>
        <v>0.8671504972622287</v>
      </c>
      <c r="G20" s="3"/>
      <c r="H20" s="3">
        <v>95495</v>
      </c>
      <c r="I20" s="3"/>
      <c r="J20" s="20">
        <f t="shared" si="5"/>
        <v>0.89500271795160169</v>
      </c>
      <c r="K20" s="3"/>
      <c r="L20" s="3">
        <f t="shared" si="6"/>
        <v>53090.570000000007</v>
      </c>
      <c r="M20" s="3"/>
      <c r="N20" s="20">
        <f t="shared" si="7"/>
        <v>0.55595130635111789</v>
      </c>
      <c r="O20" s="12"/>
      <c r="P20" s="3">
        <v>1174314.93</v>
      </c>
      <c r="Q20" s="3"/>
      <c r="R20" s="20">
        <f t="shared" si="8"/>
        <v>0.90766456517255967</v>
      </c>
      <c r="S20" s="3"/>
      <c r="T20" s="3">
        <v>1321996</v>
      </c>
      <c r="U20" s="3"/>
      <c r="V20" s="20">
        <f t="shared" si="9"/>
        <v>0.89499848689283612</v>
      </c>
      <c r="W20" s="3"/>
      <c r="X20" s="3">
        <f t="shared" si="10"/>
        <v>-147681.07000000007</v>
      </c>
      <c r="Y20" s="3"/>
      <c r="Z20" s="20">
        <f t="shared" si="11"/>
        <v>-0.11171067839842183</v>
      </c>
    </row>
    <row r="21" spans="1:26" s="70" customFormat="1" ht="15" hidden="1" customHeight="1" outlineLevel="1" x14ac:dyDescent="0.3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-93808.4</v>
      </c>
      <c r="Q22" s="3"/>
      <c r="R22" s="20">
        <f t="shared" si="8"/>
        <v>-7.2507432563710617E-2</v>
      </c>
      <c r="S22" s="3"/>
      <c r="T22" s="3"/>
      <c r="U22" s="3"/>
      <c r="V22" s="20">
        <f t="shared" si="9"/>
        <v>0</v>
      </c>
      <c r="W22" s="3"/>
      <c r="X22" s="3">
        <f t="shared" si="10"/>
        <v>-93808.4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","5200"," - ","PURCHASES OFFSET")</f>
        <v xml:space="preserve">          5200 - PURCHASES OFFSET</v>
      </c>
      <c r="C26" s="12"/>
      <c r="D26" s="3">
        <v>-148609.87</v>
      </c>
      <c r="E26" s="3"/>
      <c r="F26" s="20">
        <f t="shared" si="4"/>
        <v>-0.86729231289805031</v>
      </c>
      <c r="G26" s="3"/>
      <c r="H26" s="3"/>
      <c r="I26" s="3"/>
      <c r="J26" s="20">
        <f t="shared" si="5"/>
        <v>0</v>
      </c>
      <c r="K26" s="3"/>
      <c r="L26" s="3">
        <f t="shared" si="6"/>
        <v>-148609.87</v>
      </c>
      <c r="M26" s="3"/>
      <c r="N26" s="20">
        <f t="shared" si="7"/>
        <v>0</v>
      </c>
      <c r="O26" s="12"/>
      <c r="P26" s="3">
        <v>-1174407.57</v>
      </c>
      <c r="Q26" s="3"/>
      <c r="R26" s="20">
        <f t="shared" si="8"/>
        <v>-0.90773616951239189</v>
      </c>
      <c r="S26" s="3"/>
      <c r="T26" s="3"/>
      <c r="U26" s="3"/>
      <c r="V26" s="20">
        <f t="shared" si="9"/>
        <v>0</v>
      </c>
      <c r="W26" s="3"/>
      <c r="X26" s="3">
        <f t="shared" si="10"/>
        <v>-1174407.57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","5300"," - ","COG$ OFFSET")</f>
        <v xml:space="preserve">          5300 - COG$ OFFSET</v>
      </c>
      <c r="C27" s="12"/>
      <c r="D27" s="3">
        <v>151731.15</v>
      </c>
      <c r="E27" s="3"/>
      <c r="F27" s="20">
        <f t="shared" si="4"/>
        <v>0.88550821033744931</v>
      </c>
      <c r="G27" s="3"/>
      <c r="H27" s="3"/>
      <c r="I27" s="3"/>
      <c r="J27" s="20">
        <f t="shared" si="5"/>
        <v>0</v>
      </c>
      <c r="K27" s="3"/>
      <c r="L27" s="3">
        <f t="shared" si="6"/>
        <v>151731.15</v>
      </c>
      <c r="M27" s="3"/>
      <c r="N27" s="20">
        <f t="shared" si="7"/>
        <v>0</v>
      </c>
      <c r="O27" s="12"/>
      <c r="P27" s="3">
        <v>1199847.31</v>
      </c>
      <c r="Q27" s="3"/>
      <c r="R27" s="20">
        <f t="shared" si="8"/>
        <v>0.92739933648345552</v>
      </c>
      <c r="S27" s="3"/>
      <c r="T27" s="3"/>
      <c r="U27" s="3"/>
      <c r="V27" s="20">
        <f t="shared" si="9"/>
        <v>0</v>
      </c>
      <c r="W27" s="3"/>
      <c r="X27" s="3">
        <f t="shared" si="10"/>
        <v>1199847.31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>
        <v>24.3</v>
      </c>
      <c r="E28" s="3"/>
      <c r="F28" s="20">
        <f t="shared" si="4"/>
        <v>1.4181563582164915E-4</v>
      </c>
      <c r="G28" s="3"/>
      <c r="H28" s="3"/>
      <c r="I28" s="3"/>
      <c r="J28" s="20">
        <f t="shared" si="5"/>
        <v>0</v>
      </c>
      <c r="K28" s="3"/>
      <c r="L28" s="3">
        <f t="shared" si="6"/>
        <v>24.3</v>
      </c>
      <c r="M28" s="3"/>
      <c r="N28" s="20">
        <f t="shared" si="7"/>
        <v>0</v>
      </c>
      <c r="O28" s="12"/>
      <c r="P28" s="3">
        <v>92.64</v>
      </c>
      <c r="Q28" s="3"/>
      <c r="R28" s="20">
        <f t="shared" si="8"/>
        <v>7.1604339832063559E-5</v>
      </c>
      <c r="S28" s="3"/>
      <c r="T28" s="3"/>
      <c r="U28" s="3"/>
      <c r="V28" s="20">
        <f t="shared" si="9"/>
        <v>0</v>
      </c>
      <c r="W28" s="3"/>
      <c r="X28" s="3">
        <f t="shared" si="10"/>
        <v>92.64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289</v>
      </c>
      <c r="C31" s="28"/>
      <c r="D31" s="21">
        <f>D12-D19</f>
        <v>19618.080000000016</v>
      </c>
      <c r="E31" s="15"/>
      <c r="F31" s="22">
        <f>IF(D$12=0,0,D31/D$12)</f>
        <v>0.11449178966255066</v>
      </c>
      <c r="G31" s="15"/>
      <c r="H31" s="21">
        <f>H12-H19</f>
        <v>11203</v>
      </c>
      <c r="I31" s="15"/>
      <c r="J31" s="22">
        <f>IF(H$12=0,0,H31/H$12)</f>
        <v>0.10499728204839828</v>
      </c>
      <c r="K31" s="16"/>
      <c r="L31" s="21">
        <f>+D31-H31</f>
        <v>8415.0800000000163</v>
      </c>
      <c r="M31" s="16"/>
      <c r="N31" s="22">
        <f>IF(H31=0,0,L31/H31)</f>
        <v>0.75114522895653091</v>
      </c>
      <c r="O31" s="27"/>
      <c r="P31" s="21">
        <f>P12-P19</f>
        <v>187737.41999999993</v>
      </c>
      <c r="Q31" s="15"/>
      <c r="R31" s="22">
        <f>IF(P$12=0,0,P31/P$12)</f>
        <v>0.14510809608025518</v>
      </c>
      <c r="S31" s="15"/>
      <c r="T31" s="21">
        <f>T12-T19</f>
        <v>155097</v>
      </c>
      <c r="U31" s="15"/>
      <c r="V31" s="22">
        <f>IF(T$12=0,0,T31/T$12)</f>
        <v>0.10500151310716387</v>
      </c>
      <c r="W31" s="16"/>
      <c r="X31" s="21">
        <f>+P31-T31</f>
        <v>32640.419999999925</v>
      </c>
      <c r="Y31" s="16"/>
      <c r="Z31" s="22">
        <f>IF(T31=0,0,X31/T31)</f>
        <v>0.21045165283661144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7" t="s">
        <v>290</v>
      </c>
      <c r="C33" s="11"/>
      <c r="D33" s="23" cm="1">
        <f t="array" ref="D33">SUM(OSRRefD22x_0)</f>
        <v>15917.660000000002</v>
      </c>
      <c r="E33" s="23"/>
      <c r="F33" s="29">
        <f t="shared" ref="F33:F72" si="12">IF(D$12=0,0,D33/D$12)</f>
        <v>9.2896011263079503E-2</v>
      </c>
      <c r="G33" s="23"/>
      <c r="H33" s="23" cm="1">
        <f t="array" ref="H33">SUM(OSRRefH22x_0)</f>
        <v>14386.013488870001</v>
      </c>
      <c r="I33" s="23"/>
      <c r="J33" s="29">
        <f t="shared" ref="J33:J72" si="13">IF(H$12=0,0,H33/H$12)</f>
        <v>0.13482927035998801</v>
      </c>
      <c r="K33" s="5"/>
      <c r="L33" s="23">
        <f t="shared" ref="L33:L72" si="14">+D33-H33</f>
        <v>1531.6465111300004</v>
      </c>
      <c r="M33" s="5"/>
      <c r="N33" s="29">
        <f t="shared" ref="N33:N72" si="15">IF(H33=0,0,L33/H33)</f>
        <v>0.10646775163355618</v>
      </c>
      <c r="O33" s="11"/>
      <c r="P33" s="23" cm="1">
        <f t="array" ref="P33">SUM(OSRRefP22x_0)</f>
        <v>115815.06000000001</v>
      </c>
      <c r="Q33" s="23"/>
      <c r="R33" s="29">
        <f t="shared" ref="R33:R72" si="16">IF(P$12=0,0,P33/P$12)</f>
        <v>8.9517065132888943E-2</v>
      </c>
      <c r="S33" s="23"/>
      <c r="T33" s="23" cm="1">
        <f t="array" ref="T33">SUM(OSRRefT22x_0)</f>
        <v>127935.86814561251</v>
      </c>
      <c r="U33" s="23"/>
      <c r="V33" s="29">
        <f t="shared" ref="V33:V72" si="17">IF(T$12=0,0,T33/T$12)</f>
        <v>8.66132790187297E-2</v>
      </c>
      <c r="W33" s="5"/>
      <c r="X33" s="23">
        <f t="shared" ref="X33:X72" si="18">+P33-T33</f>
        <v>-12120.808145612493</v>
      </c>
      <c r="Y33" s="5"/>
      <c r="Z33" s="29">
        <f t="shared" ref="Z33:Z72" si="19">IF(T33=0,0,X33/T33)</f>
        <v>-9.474128187270342E-2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5158.8</v>
      </c>
      <c r="E34" s="2"/>
      <c r="F34" s="6">
        <f t="shared" si="12"/>
        <v>3.010693424184048E-2</v>
      </c>
      <c r="G34" s="2"/>
      <c r="H34" s="2">
        <f>SUM(OSRRefH22_0x_0)</f>
        <v>2578.94293887</v>
      </c>
      <c r="I34" s="2"/>
      <c r="J34" s="6">
        <f t="shared" si="13"/>
        <v>2.4170489970477424E-2</v>
      </c>
      <c r="K34" s="2"/>
      <c r="L34" s="2">
        <f t="shared" si="14"/>
        <v>2579.8570611300001</v>
      </c>
      <c r="M34" s="2"/>
      <c r="N34" s="6">
        <f t="shared" si="15"/>
        <v>1.0003544561790114</v>
      </c>
      <c r="O34" s="14"/>
      <c r="P34" s="2">
        <f>SUM(OSRRefP22_0x_0)</f>
        <v>19968.349999999995</v>
      </c>
      <c r="Q34" s="2"/>
      <c r="R34" s="6">
        <f t="shared" si="16"/>
        <v>1.5434159318713149E-2</v>
      </c>
      <c r="S34" s="2"/>
      <c r="T34" s="2">
        <f>SUM(OSRRefT22_0x_0)</f>
        <v>22820.5608331125</v>
      </c>
      <c r="U34" s="2"/>
      <c r="V34" s="6">
        <f t="shared" si="17"/>
        <v>1.5449643883704343E-2</v>
      </c>
      <c r="W34" s="2"/>
      <c r="X34" s="2">
        <f t="shared" si="18"/>
        <v>-2852.2108331125055</v>
      </c>
      <c r="Y34" s="2"/>
      <c r="Z34" s="6">
        <f t="shared" si="19"/>
        <v>-0.12498425669600391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8">
        <v>523.23</v>
      </c>
      <c r="E35" s="3"/>
      <c r="F35" s="7">
        <f t="shared" si="12"/>
        <v>3.0535882769942998E-3</v>
      </c>
      <c r="G35" s="3"/>
      <c r="H35" s="8">
        <v>457.37151956999998</v>
      </c>
      <c r="I35" s="3"/>
      <c r="J35" s="7">
        <f t="shared" si="13"/>
        <v>4.2865988075690264E-3</v>
      </c>
      <c r="K35" s="3"/>
      <c r="L35" s="8">
        <f t="shared" si="14"/>
        <v>65.858480430000043</v>
      </c>
      <c r="M35" s="3"/>
      <c r="N35" s="7">
        <f t="shared" si="15"/>
        <v>0.14399340057710022</v>
      </c>
      <c r="O35" s="12"/>
      <c r="P35" s="8">
        <v>4287.54</v>
      </c>
      <c r="Q35" s="3"/>
      <c r="R35" s="7">
        <f t="shared" si="16"/>
        <v>3.3139731347535169E-3</v>
      </c>
      <c r="S35" s="3"/>
      <c r="T35" s="8">
        <v>4780.7700762374998</v>
      </c>
      <c r="U35" s="3"/>
      <c r="V35" s="7">
        <f t="shared" si="17"/>
        <v>3.23660736069936E-3</v>
      </c>
      <c r="W35" s="3"/>
      <c r="X35" s="8">
        <f t="shared" si="18"/>
        <v>-493.23007623749982</v>
      </c>
      <c r="Y35" s="3"/>
      <c r="Z35" s="7">
        <f t="shared" si="19"/>
        <v>-0.10316958740372544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8">
        <v>150.32</v>
      </c>
      <c r="E36" s="3"/>
      <c r="F36" s="7">
        <f t="shared" si="12"/>
        <v>8.7727269039960078E-4</v>
      </c>
      <c r="G36" s="3"/>
      <c r="H36" s="8">
        <v>165.6078684</v>
      </c>
      <c r="I36" s="3"/>
      <c r="J36" s="7">
        <f t="shared" si="13"/>
        <v>1.5521178316369566E-3</v>
      </c>
      <c r="K36" s="3"/>
      <c r="L36" s="8">
        <f t="shared" si="14"/>
        <v>-15.287868400000008</v>
      </c>
      <c r="M36" s="3"/>
      <c r="N36" s="7">
        <f t="shared" si="15"/>
        <v>-9.2313659657007024E-2</v>
      </c>
      <c r="O36" s="12"/>
      <c r="P36" s="8">
        <v>1149.3499999999999</v>
      </c>
      <c r="Q36" s="3"/>
      <c r="R36" s="7">
        <f t="shared" si="16"/>
        <v>8.883683936310692E-4</v>
      </c>
      <c r="S36" s="3"/>
      <c r="T36" s="8">
        <v>1444.8715125000001</v>
      </c>
      <c r="U36" s="3"/>
      <c r="V36" s="7">
        <f t="shared" si="17"/>
        <v>9.7818587759877004E-4</v>
      </c>
      <c r="W36" s="3"/>
      <c r="X36" s="8">
        <f t="shared" si="18"/>
        <v>-295.5215125000002</v>
      </c>
      <c r="Y36" s="3"/>
      <c r="Z36" s="7">
        <f t="shared" si="19"/>
        <v>-0.20453134409762971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8">
        <v>1539.12</v>
      </c>
      <c r="E37" s="3"/>
      <c r="F37" s="7">
        <f t="shared" si="12"/>
        <v>8.9823572594986256E-3</v>
      </c>
      <c r="G37" s="3"/>
      <c r="H37" s="8">
        <v>943.5</v>
      </c>
      <c r="I37" s="3"/>
      <c r="J37" s="7">
        <f t="shared" si="13"/>
        <v>8.8427149524827088E-3</v>
      </c>
      <c r="K37" s="3"/>
      <c r="L37" s="8">
        <f t="shared" si="14"/>
        <v>595.61999999999989</v>
      </c>
      <c r="M37" s="3"/>
      <c r="N37" s="7">
        <f t="shared" si="15"/>
        <v>0.6312877583465818</v>
      </c>
      <c r="O37" s="12"/>
      <c r="P37" s="8">
        <v>6828.65</v>
      </c>
      <c r="Q37" s="3"/>
      <c r="R37" s="7">
        <f t="shared" si="16"/>
        <v>5.2780761571051471E-3</v>
      </c>
      <c r="S37" s="3"/>
      <c r="T37" s="8">
        <v>8007</v>
      </c>
      <c r="U37" s="3"/>
      <c r="V37" s="7">
        <f t="shared" si="17"/>
        <v>5.4207825776711417E-3</v>
      </c>
      <c r="W37" s="3"/>
      <c r="X37" s="8">
        <f t="shared" si="18"/>
        <v>-1178.3500000000004</v>
      </c>
      <c r="Y37" s="3"/>
      <c r="Z37" s="7">
        <f t="shared" si="19"/>
        <v>-0.14716498064193834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8">
        <v>26.41</v>
      </c>
      <c r="E38" s="3"/>
      <c r="F38" s="7">
        <f t="shared" si="12"/>
        <v>1.5412966839710923E-4</v>
      </c>
      <c r="G38" s="3"/>
      <c r="H38" s="8">
        <v>22.293366899999999</v>
      </c>
      <c r="I38" s="3"/>
      <c r="J38" s="7">
        <f t="shared" si="13"/>
        <v>2.0893893887420569E-4</v>
      </c>
      <c r="K38" s="3"/>
      <c r="L38" s="8">
        <f t="shared" si="14"/>
        <v>4.1166331000000014</v>
      </c>
      <c r="M38" s="3"/>
      <c r="N38" s="7">
        <f t="shared" si="15"/>
        <v>0.18465730719212275</v>
      </c>
      <c r="O38" s="12"/>
      <c r="P38" s="8">
        <v>201.92</v>
      </c>
      <c r="Q38" s="3"/>
      <c r="R38" s="7">
        <f t="shared" si="16"/>
        <v>1.5607025365814198E-4</v>
      </c>
      <c r="S38" s="3"/>
      <c r="T38" s="8">
        <v>194.50193437499999</v>
      </c>
      <c r="U38" s="3"/>
      <c r="V38" s="7">
        <f t="shared" si="17"/>
        <v>1.3167886813829596E-4</v>
      </c>
      <c r="W38" s="3"/>
      <c r="X38" s="8">
        <f t="shared" si="18"/>
        <v>7.418065624999997</v>
      </c>
      <c r="Y38" s="3"/>
      <c r="Z38" s="7">
        <f t="shared" si="19"/>
        <v>3.8138775579979356E-2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8">
        <v>123.87</v>
      </c>
      <c r="E39" s="3"/>
      <c r="F39" s="7">
        <f t="shared" si="12"/>
        <v>7.2290958062665351E-4</v>
      </c>
      <c r="G39" s="3"/>
      <c r="H39" s="8">
        <v>202.166134</v>
      </c>
      <c r="I39" s="3"/>
      <c r="J39" s="7">
        <f t="shared" si="13"/>
        <v>1.8947509231663198E-3</v>
      </c>
      <c r="K39" s="3"/>
      <c r="L39" s="8">
        <f t="shared" si="14"/>
        <v>-78.296133999999995</v>
      </c>
      <c r="M39" s="3"/>
      <c r="N39" s="7">
        <f t="shared" si="15"/>
        <v>-0.38728610203329106</v>
      </c>
      <c r="O39" s="12"/>
      <c r="P39" s="8">
        <v>914.81</v>
      </c>
      <c r="Q39" s="3"/>
      <c r="R39" s="7">
        <f t="shared" si="16"/>
        <v>7.0708512653033318E-4</v>
      </c>
      <c r="S39" s="3"/>
      <c r="T39" s="8">
        <v>1768.9536725</v>
      </c>
      <c r="U39" s="3"/>
      <c r="V39" s="7">
        <f t="shared" si="17"/>
        <v>1.1975912637186691E-3</v>
      </c>
      <c r="W39" s="3"/>
      <c r="X39" s="8">
        <f t="shared" si="18"/>
        <v>-854.14367250000009</v>
      </c>
      <c r="Y39" s="3"/>
      <c r="Z39" s="7">
        <f t="shared" si="19"/>
        <v>-0.48285248267291753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8">
        <v>120</v>
      </c>
      <c r="E41" s="3"/>
      <c r="F41" s="7">
        <f t="shared" si="12"/>
        <v>7.0032412751431681E-4</v>
      </c>
      <c r="G41" s="3"/>
      <c r="H41" s="8"/>
      <c r="I41" s="3"/>
      <c r="J41" s="7">
        <f t="shared" si="13"/>
        <v>0</v>
      </c>
      <c r="K41" s="3"/>
      <c r="L41" s="8">
        <f t="shared" si="14"/>
        <v>120</v>
      </c>
      <c r="M41" s="3"/>
      <c r="N41" s="7">
        <f t="shared" si="15"/>
        <v>0</v>
      </c>
      <c r="O41" s="12"/>
      <c r="P41" s="8">
        <v>-117.34</v>
      </c>
      <c r="Q41" s="3"/>
      <c r="R41" s="7">
        <f t="shared" si="16"/>
        <v>-9.0695738729429392E-5</v>
      </c>
      <c r="S41" s="3"/>
      <c r="T41" s="8"/>
      <c r="U41" s="3"/>
      <c r="V41" s="7">
        <f t="shared" si="17"/>
        <v>0</v>
      </c>
      <c r="W41" s="3"/>
      <c r="X41" s="8">
        <f t="shared" si="18"/>
        <v>-117.34</v>
      </c>
      <c r="Y41" s="3"/>
      <c r="Z41" s="7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8">
        <v>917.55</v>
      </c>
      <c r="E42" s="3"/>
      <c r="F42" s="7">
        <f t="shared" si="12"/>
        <v>5.3548533600063447E-3</v>
      </c>
      <c r="G42" s="3"/>
      <c r="H42" s="8">
        <v>179.29106999999999</v>
      </c>
      <c r="I42" s="3"/>
      <c r="J42" s="7">
        <f t="shared" si="13"/>
        <v>1.6803601754484618E-3</v>
      </c>
      <c r="K42" s="3"/>
      <c r="L42" s="8">
        <f t="shared" si="14"/>
        <v>738.25892999999996</v>
      </c>
      <c r="M42" s="3"/>
      <c r="N42" s="7">
        <f t="shared" si="15"/>
        <v>4.1176558877137603</v>
      </c>
      <c r="O42" s="12"/>
      <c r="P42" s="8">
        <v>2292.9699999999998</v>
      </c>
      <c r="Q42" s="3"/>
      <c r="R42" s="7">
        <f t="shared" si="16"/>
        <v>1.7723078918904013E-3</v>
      </c>
      <c r="S42" s="3"/>
      <c r="T42" s="8">
        <v>1568.7968625000001</v>
      </c>
      <c r="U42" s="3"/>
      <c r="V42" s="7">
        <f t="shared" si="17"/>
        <v>1.0620840140058887E-3</v>
      </c>
      <c r="W42" s="3"/>
      <c r="X42" s="8">
        <f t="shared" si="18"/>
        <v>724.17313749999971</v>
      </c>
      <c r="Y42" s="3"/>
      <c r="Z42" s="7">
        <f t="shared" si="19"/>
        <v>0.46161052129207691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8">
        <v>1533.28</v>
      </c>
      <c r="E43" s="3"/>
      <c r="F43" s="7">
        <f t="shared" si="12"/>
        <v>8.9482748186262631E-3</v>
      </c>
      <c r="G43" s="3"/>
      <c r="H43" s="8">
        <v>258.71298000000002</v>
      </c>
      <c r="I43" s="3"/>
      <c r="J43" s="7">
        <f t="shared" si="13"/>
        <v>2.4247219254344039E-3</v>
      </c>
      <c r="K43" s="3"/>
      <c r="L43" s="8">
        <f t="shared" si="14"/>
        <v>1274.56702</v>
      </c>
      <c r="M43" s="3"/>
      <c r="N43" s="7">
        <f t="shared" si="15"/>
        <v>4.9265677354108783</v>
      </c>
      <c r="O43" s="12"/>
      <c r="P43" s="8">
        <v>3074.44</v>
      </c>
      <c r="Q43" s="3"/>
      <c r="R43" s="7">
        <f t="shared" si="16"/>
        <v>2.3763303816201372E-3</v>
      </c>
      <c r="S43" s="3"/>
      <c r="T43" s="8">
        <v>2255.6667750000001</v>
      </c>
      <c r="U43" s="3"/>
      <c r="V43" s="7">
        <f t="shared" si="17"/>
        <v>1.5270986830213129E-3</v>
      </c>
      <c r="W43" s="3"/>
      <c r="X43" s="8">
        <f t="shared" si="18"/>
        <v>818.77322499999991</v>
      </c>
      <c r="Y43" s="3"/>
      <c r="Z43" s="7">
        <f t="shared" si="19"/>
        <v>0.36298500916652454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8">
        <v>225.02</v>
      </c>
      <c r="E44" s="3"/>
      <c r="F44" s="7">
        <f t="shared" si="12"/>
        <v>1.3132244597772631E-3</v>
      </c>
      <c r="G44" s="3"/>
      <c r="H44" s="8">
        <v>350</v>
      </c>
      <c r="I44" s="3"/>
      <c r="J44" s="7">
        <f t="shared" si="13"/>
        <v>3.2802864158653394E-3</v>
      </c>
      <c r="K44" s="3"/>
      <c r="L44" s="8">
        <f t="shared" si="14"/>
        <v>-124.97999999999999</v>
      </c>
      <c r="M44" s="3"/>
      <c r="N44" s="7">
        <f t="shared" si="15"/>
        <v>-0.35708571428571428</v>
      </c>
      <c r="O44" s="12"/>
      <c r="P44" s="8">
        <v>1336.01</v>
      </c>
      <c r="Q44" s="3"/>
      <c r="R44" s="7">
        <f t="shared" si="16"/>
        <v>1.0326437182538346E-3</v>
      </c>
      <c r="S44" s="3"/>
      <c r="T44" s="8">
        <v>2800</v>
      </c>
      <c r="U44" s="3"/>
      <c r="V44" s="7">
        <f t="shared" si="17"/>
        <v>1.8956152388509052E-3</v>
      </c>
      <c r="W44" s="3"/>
      <c r="X44" s="8">
        <f t="shared" si="18"/>
        <v>-1463.99</v>
      </c>
      <c r="Y44" s="3"/>
      <c r="Z44" s="7">
        <f t="shared" si="19"/>
        <v>-0.52285357142857147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9615.25</v>
      </c>
      <c r="E45" s="2"/>
      <c r="F45" s="6">
        <f t="shared" si="12"/>
        <v>5.6114929725683618E-2</v>
      </c>
      <c r="G45" s="2"/>
      <c r="H45" s="2">
        <f>SUM(OSRRefH22_1x_0)</f>
        <v>10317.07055</v>
      </c>
      <c r="I45" s="2"/>
      <c r="J45" s="6">
        <f t="shared" si="13"/>
        <v>9.669413250482671E-2</v>
      </c>
      <c r="K45" s="2"/>
      <c r="L45" s="2">
        <f t="shared" si="14"/>
        <v>-701.82055000000037</v>
      </c>
      <c r="M45" s="2"/>
      <c r="N45" s="6">
        <f t="shared" si="15"/>
        <v>-6.8025176972352913E-2</v>
      </c>
      <c r="O45" s="14"/>
      <c r="P45" s="2">
        <f>SUM(OSRRefP22_1x_0)</f>
        <v>81076.990000000005</v>
      </c>
      <c r="Q45" s="2"/>
      <c r="R45" s="6">
        <f t="shared" si="16"/>
        <v>6.2666929452944942E-2</v>
      </c>
      <c r="S45" s="2"/>
      <c r="T45" s="2">
        <f>SUM(OSRRefT22_1x_0)</f>
        <v>90005.307312500008</v>
      </c>
      <c r="U45" s="2"/>
      <c r="V45" s="6">
        <f t="shared" si="17"/>
        <v>6.0934082899654934E-2</v>
      </c>
      <c r="W45" s="2"/>
      <c r="X45" s="2">
        <f t="shared" si="18"/>
        <v>-8928.317312500003</v>
      </c>
      <c r="Y45" s="2"/>
      <c r="Z45" s="6">
        <f t="shared" si="19"/>
        <v>-9.9197675993713666E-2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8">
        <v>1700</v>
      </c>
      <c r="E47" s="3"/>
      <c r="F47" s="7">
        <f t="shared" si="12"/>
        <v>9.9212584731194868E-3</v>
      </c>
      <c r="G47" s="3"/>
      <c r="H47" s="8">
        <v>2233.2305500000002</v>
      </c>
      <c r="I47" s="3"/>
      <c r="J47" s="7">
        <f t="shared" si="13"/>
        <v>2.0930388104744232E-2</v>
      </c>
      <c r="K47" s="3"/>
      <c r="L47" s="8">
        <f t="shared" si="14"/>
        <v>-533.23055000000022</v>
      </c>
      <c r="M47" s="3"/>
      <c r="N47" s="7">
        <f t="shared" si="15"/>
        <v>-0.23877093656989432</v>
      </c>
      <c r="O47" s="12"/>
      <c r="P47" s="8">
        <v>14952.94</v>
      </c>
      <c r="Q47" s="3"/>
      <c r="R47" s="7">
        <f t="shared" si="16"/>
        <v>1.1557592802768314E-2</v>
      </c>
      <c r="S47" s="3"/>
      <c r="T47" s="8">
        <v>19540.7673125</v>
      </c>
      <c r="U47" s="3"/>
      <c r="V47" s="7">
        <f t="shared" si="17"/>
        <v>1.3229205820148087E-2</v>
      </c>
      <c r="W47" s="3"/>
      <c r="X47" s="8">
        <f t="shared" si="18"/>
        <v>-4587.8273124999996</v>
      </c>
      <c r="Y47" s="3"/>
      <c r="Z47" s="7">
        <f t="shared" si="19"/>
        <v>-0.23478235215283588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8">
        <v>4089.69</v>
      </c>
      <c r="E49" s="3"/>
      <c r="F49" s="7">
        <f t="shared" si="12"/>
        <v>2.3867571508783551E-2</v>
      </c>
      <c r="G49" s="3"/>
      <c r="H49" s="8">
        <v>3444.32</v>
      </c>
      <c r="I49" s="3"/>
      <c r="J49" s="7">
        <f t="shared" si="13"/>
        <v>3.2281017451123731E-2</v>
      </c>
      <c r="K49" s="3"/>
      <c r="L49" s="8">
        <f t="shared" si="14"/>
        <v>645.36999999999989</v>
      </c>
      <c r="M49" s="3"/>
      <c r="N49" s="7">
        <f t="shared" si="15"/>
        <v>0.18737225344915684</v>
      </c>
      <c r="O49" s="12"/>
      <c r="P49" s="8">
        <v>24983.15</v>
      </c>
      <c r="Q49" s="3"/>
      <c r="R49" s="7">
        <f t="shared" si="16"/>
        <v>1.9310254346669029E-2</v>
      </c>
      <c r="S49" s="3"/>
      <c r="T49" s="8">
        <v>30137.8</v>
      </c>
      <c r="U49" s="3"/>
      <c r="V49" s="7">
        <f t="shared" si="17"/>
        <v>2.0403454623371717E-2</v>
      </c>
      <c r="W49" s="3"/>
      <c r="X49" s="8">
        <f t="shared" si="18"/>
        <v>-5154.6499999999978</v>
      </c>
      <c r="Y49" s="3"/>
      <c r="Z49" s="7">
        <f t="shared" si="19"/>
        <v>-0.17103604111779885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8">
        <v>2308.37</v>
      </c>
      <c r="E50" s="3"/>
      <c r="F50" s="7">
        <f t="shared" si="12"/>
        <v>1.3471726718585195E-2</v>
      </c>
      <c r="G50" s="3"/>
      <c r="H50" s="8">
        <v>0</v>
      </c>
      <c r="I50" s="3"/>
      <c r="J50" s="7">
        <f t="shared" si="13"/>
        <v>0</v>
      </c>
      <c r="K50" s="3"/>
      <c r="L50" s="8">
        <f t="shared" si="14"/>
        <v>2308.37</v>
      </c>
      <c r="M50" s="3"/>
      <c r="N50" s="7">
        <f t="shared" si="15"/>
        <v>0</v>
      </c>
      <c r="O50" s="12"/>
      <c r="P50" s="8">
        <v>10542.18</v>
      </c>
      <c r="Q50" s="3"/>
      <c r="R50" s="7">
        <f t="shared" si="16"/>
        <v>8.1483790942442121E-3</v>
      </c>
      <c r="S50" s="3"/>
      <c r="T50" s="8">
        <v>0</v>
      </c>
      <c r="U50" s="3"/>
      <c r="V50" s="7">
        <f t="shared" si="17"/>
        <v>0</v>
      </c>
      <c r="W50" s="3"/>
      <c r="X50" s="8">
        <f t="shared" si="18"/>
        <v>10542.18</v>
      </c>
      <c r="Y50" s="3"/>
      <c r="Z50" s="7">
        <f t="shared" si="19"/>
        <v>0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8">
        <v>1517.19</v>
      </c>
      <c r="E52" s="3"/>
      <c r="F52" s="7">
        <f t="shared" si="12"/>
        <v>8.8543730251953862E-3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1517.19</v>
      </c>
      <c r="M52" s="3"/>
      <c r="N52" s="7">
        <f t="shared" si="15"/>
        <v>0</v>
      </c>
      <c r="O52" s="12"/>
      <c r="P52" s="8">
        <v>24453.09</v>
      </c>
      <c r="Q52" s="3"/>
      <c r="R52" s="7">
        <f t="shared" si="16"/>
        <v>1.8900554472193815E-2</v>
      </c>
      <c r="S52" s="3"/>
      <c r="T52" s="8">
        <v>10176</v>
      </c>
      <c r="U52" s="3"/>
      <c r="V52" s="7">
        <f t="shared" si="17"/>
        <v>6.8892073823381469E-3</v>
      </c>
      <c r="W52" s="3"/>
      <c r="X52" s="8">
        <f t="shared" si="18"/>
        <v>14277.09</v>
      </c>
      <c r="Y52" s="3"/>
      <c r="Z52" s="7">
        <f t="shared" si="19"/>
        <v>1.4030159198113208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4639.5200000000004</v>
      </c>
      <c r="I53" s="3"/>
      <c r="J53" s="7">
        <f t="shared" si="13"/>
        <v>4.3482726948958744E-2</v>
      </c>
      <c r="K53" s="3"/>
      <c r="L53" s="8">
        <f t="shared" si="14"/>
        <v>-4639.5200000000004</v>
      </c>
      <c r="M53" s="3"/>
      <c r="N53" s="7">
        <f t="shared" si="15"/>
        <v>-1</v>
      </c>
      <c r="O53" s="12"/>
      <c r="P53" s="8">
        <v>6145.63</v>
      </c>
      <c r="Q53" s="3"/>
      <c r="R53" s="7">
        <f t="shared" si="16"/>
        <v>4.7501487370695678E-3</v>
      </c>
      <c r="S53" s="3"/>
      <c r="T53" s="8">
        <v>30150.74</v>
      </c>
      <c r="U53" s="3"/>
      <c r="V53" s="7">
        <f t="shared" si="17"/>
        <v>2.041221507379698E-2</v>
      </c>
      <c r="W53" s="3"/>
      <c r="X53" s="8">
        <f t="shared" si="18"/>
        <v>-24005.11</v>
      </c>
      <c r="Y53" s="3"/>
      <c r="Z53" s="7">
        <f t="shared" si="19"/>
        <v>-0.79616984525089596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30.19</v>
      </c>
      <c r="E56" s="2"/>
      <c r="F56" s="6">
        <f t="shared" si="12"/>
        <v>1.7618987841381021E-4</v>
      </c>
      <c r="G56" s="2"/>
      <c r="H56" s="2">
        <f>SUM(OSRRefH22_2x_0)</f>
        <v>200</v>
      </c>
      <c r="I56" s="2"/>
      <c r="J56" s="6">
        <f t="shared" si="13"/>
        <v>1.8744493804944797E-3</v>
      </c>
      <c r="K56" s="2"/>
      <c r="L56" s="2">
        <f t="shared" si="14"/>
        <v>-169.81</v>
      </c>
      <c r="M56" s="2"/>
      <c r="N56" s="6">
        <f t="shared" si="15"/>
        <v>-0.84904999999999997</v>
      </c>
      <c r="O56" s="14"/>
      <c r="P56" s="2">
        <f>SUM(OSRRefP22_2x_0)</f>
        <v>176.99</v>
      </c>
      <c r="Q56" s="2"/>
      <c r="R56" s="6">
        <f t="shared" si="16"/>
        <v>1.3680108060100315E-4</v>
      </c>
      <c r="S56" s="2"/>
      <c r="T56" s="2">
        <f>SUM(OSRRefT22_2x_0)</f>
        <v>1600</v>
      </c>
      <c r="U56" s="2"/>
      <c r="V56" s="6">
        <f t="shared" si="17"/>
        <v>1.083208707914803E-3</v>
      </c>
      <c r="W56" s="2"/>
      <c r="X56" s="2">
        <f t="shared" si="18"/>
        <v>-1423.01</v>
      </c>
      <c r="Y56" s="2"/>
      <c r="Z56" s="6">
        <f t="shared" si="19"/>
        <v>-0.88938125000000001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8">
        <v>30.19</v>
      </c>
      <c r="E57" s="3"/>
      <c r="F57" s="7">
        <f t="shared" si="12"/>
        <v>1.7618987841381021E-4</v>
      </c>
      <c r="G57" s="3"/>
      <c r="H57" s="8">
        <v>200</v>
      </c>
      <c r="I57" s="3"/>
      <c r="J57" s="7">
        <f t="shared" si="13"/>
        <v>1.8744493804944797E-3</v>
      </c>
      <c r="K57" s="3"/>
      <c r="L57" s="8">
        <f t="shared" si="14"/>
        <v>-169.81</v>
      </c>
      <c r="M57" s="3"/>
      <c r="N57" s="7">
        <f t="shared" si="15"/>
        <v>-0.84904999999999997</v>
      </c>
      <c r="O57" s="12"/>
      <c r="P57" s="8">
        <v>176.99</v>
      </c>
      <c r="Q57" s="3"/>
      <c r="R57" s="7">
        <f t="shared" si="16"/>
        <v>1.3680108060100315E-4</v>
      </c>
      <c r="S57" s="3"/>
      <c r="T57" s="8">
        <v>1600</v>
      </c>
      <c r="U57" s="3"/>
      <c r="V57" s="7">
        <f t="shared" si="17"/>
        <v>1.083208707914803E-3</v>
      </c>
      <c r="W57" s="3"/>
      <c r="X57" s="8">
        <f t="shared" si="18"/>
        <v>-1423.01</v>
      </c>
      <c r="Y57" s="3"/>
      <c r="Z57" s="7">
        <f t="shared" si="19"/>
        <v>-0.88938125000000001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1.6366574860009584E-3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2243.52</v>
      </c>
      <c r="Q58" s="2"/>
      <c r="R58" s="6">
        <f t="shared" si="16"/>
        <v>1.7340864475391972E-3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2243.52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","6322"," - ","EQUIPMENT DEPRECIATION EXPENSE")</f>
        <v xml:space="preserve">          6322 - EQUIPMENT DEPRECIATION EXPENSE</v>
      </c>
      <c r="C59" s="12"/>
      <c r="D59" s="8">
        <v>280.44</v>
      </c>
      <c r="E59" s="3"/>
      <c r="F59" s="7">
        <f t="shared" si="12"/>
        <v>1.6366574860009584E-3</v>
      </c>
      <c r="G59" s="3"/>
      <c r="H59" s="8"/>
      <c r="I59" s="3"/>
      <c r="J59" s="7">
        <f t="shared" si="13"/>
        <v>0</v>
      </c>
      <c r="K59" s="3"/>
      <c r="L59" s="8">
        <f t="shared" si="14"/>
        <v>280.44</v>
      </c>
      <c r="M59" s="3"/>
      <c r="N59" s="7">
        <f t="shared" si="15"/>
        <v>0</v>
      </c>
      <c r="O59" s="12"/>
      <c r="P59" s="8">
        <v>2243.52</v>
      </c>
      <c r="Q59" s="3"/>
      <c r="R59" s="7">
        <f t="shared" si="16"/>
        <v>1.7340864475391972E-3</v>
      </c>
      <c r="S59" s="3"/>
      <c r="T59" s="8"/>
      <c r="U59" s="3"/>
      <c r="V59" s="7">
        <f t="shared" si="17"/>
        <v>0</v>
      </c>
      <c r="W59" s="3"/>
      <c r="X59" s="8">
        <f t="shared" si="18"/>
        <v>2243.52</v>
      </c>
      <c r="Y59" s="3"/>
      <c r="Z59" s="7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1.8744493804944798E-4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160</v>
      </c>
      <c r="U60" s="2"/>
      <c r="V60" s="6">
        <f t="shared" si="17"/>
        <v>1.083208707914803E-4</v>
      </c>
      <c r="W60" s="2"/>
      <c r="X60" s="2">
        <f t="shared" si="18"/>
        <v>-160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20</v>
      </c>
      <c r="I61" s="3"/>
      <c r="J61" s="7">
        <f t="shared" si="13"/>
        <v>1.8744493804944798E-4</v>
      </c>
      <c r="K61" s="3"/>
      <c r="L61" s="8">
        <f t="shared" si="14"/>
        <v>-20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160</v>
      </c>
      <c r="U61" s="3"/>
      <c r="V61" s="7">
        <f t="shared" si="17"/>
        <v>1.083208707914803E-4</v>
      </c>
      <c r="W61" s="3"/>
      <c r="X61" s="8">
        <f t="shared" si="18"/>
        <v>-160</v>
      </c>
      <c r="Y61" s="3"/>
      <c r="Z61" s="7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1.4058370353708599E-4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9.4398078839485341E-5</v>
      </c>
      <c r="S62" s="2"/>
      <c r="T62" s="2">
        <f>SUM(OSRRefT22_5x_0)</f>
        <v>120</v>
      </c>
      <c r="U62" s="2"/>
      <c r="V62" s="6">
        <f t="shared" si="17"/>
        <v>8.1240653093610213E-5</v>
      </c>
      <c r="W62" s="2"/>
      <c r="X62" s="2">
        <f t="shared" si="18"/>
        <v>2.1299999999999955</v>
      </c>
      <c r="Y62" s="2"/>
      <c r="Z62" s="6">
        <f t="shared" si="19"/>
        <v>1.7749999999999964E-2</v>
      </c>
    </row>
    <row r="63" spans="1:26" s="70" customFormat="1" ht="15" hidden="1" customHeight="1" outlineLevel="2" x14ac:dyDescent="0.3">
      <c r="A63" s="26"/>
      <c r="B63" s="12" t="str">
        <f>CONCATENATE("          ","6305"," - ","FREIGHT OUT")</f>
        <v xml:space="preserve">          6305 - FREIGHT OUT</v>
      </c>
      <c r="C63" s="12"/>
      <c r="D63" s="8"/>
      <c r="E63" s="3"/>
      <c r="F63" s="7">
        <f t="shared" si="12"/>
        <v>0</v>
      </c>
      <c r="G63" s="3"/>
      <c r="H63" s="8">
        <v>15</v>
      </c>
      <c r="I63" s="3"/>
      <c r="J63" s="7">
        <f t="shared" si="13"/>
        <v>1.4058370353708599E-4</v>
      </c>
      <c r="K63" s="3"/>
      <c r="L63" s="8">
        <f t="shared" si="14"/>
        <v>-15</v>
      </c>
      <c r="M63" s="3"/>
      <c r="N63" s="7">
        <f t="shared" si="15"/>
        <v>-1</v>
      </c>
      <c r="O63" s="12"/>
      <c r="P63" s="8">
        <v>122.13</v>
      </c>
      <c r="Q63" s="3"/>
      <c r="R63" s="7">
        <f t="shared" si="16"/>
        <v>9.4398078839485341E-5</v>
      </c>
      <c r="S63" s="3"/>
      <c r="T63" s="8">
        <v>120</v>
      </c>
      <c r="U63" s="3"/>
      <c r="V63" s="7">
        <f t="shared" si="17"/>
        <v>8.1240653093610213E-5</v>
      </c>
      <c r="W63" s="3"/>
      <c r="X63" s="8">
        <f t="shared" si="18"/>
        <v>2.1299999999999955</v>
      </c>
      <c r="Y63" s="3"/>
      <c r="Z63" s="7">
        <f t="shared" si="19"/>
        <v>1.7749999999999964E-2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30</v>
      </c>
      <c r="I64" s="2"/>
      <c r="J64" s="6">
        <f t="shared" si="13"/>
        <v>2.8116740707417198E-4</v>
      </c>
      <c r="K64" s="2"/>
      <c r="L64" s="2">
        <f t="shared" si="14"/>
        <v>-30</v>
      </c>
      <c r="M64" s="2"/>
      <c r="N64" s="6">
        <f t="shared" si="15"/>
        <v>-1</v>
      </c>
      <c r="O64" s="14"/>
      <c r="P64" s="2">
        <f>SUM(OSRRefP22_6x_0)</f>
        <v>0</v>
      </c>
      <c r="Q64" s="2"/>
      <c r="R64" s="6">
        <f t="shared" si="16"/>
        <v>0</v>
      </c>
      <c r="S64" s="2"/>
      <c r="T64" s="2">
        <f>SUM(OSRRefT22_6x_0)</f>
        <v>240</v>
      </c>
      <c r="U64" s="2"/>
      <c r="V64" s="6">
        <f t="shared" si="17"/>
        <v>1.6248130618722043E-4</v>
      </c>
      <c r="W64" s="2"/>
      <c r="X64" s="2">
        <f t="shared" si="18"/>
        <v>-240</v>
      </c>
      <c r="Y64" s="2"/>
      <c r="Z64" s="6">
        <f t="shared" si="19"/>
        <v>-1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8"/>
      <c r="E65" s="3"/>
      <c r="F65" s="7">
        <f t="shared" si="12"/>
        <v>0</v>
      </c>
      <c r="G65" s="3"/>
      <c r="H65" s="8">
        <v>30</v>
      </c>
      <c r="I65" s="3"/>
      <c r="J65" s="7">
        <f t="shared" si="13"/>
        <v>2.8116740707417198E-4</v>
      </c>
      <c r="K65" s="3"/>
      <c r="L65" s="8">
        <f t="shared" si="14"/>
        <v>-30</v>
      </c>
      <c r="M65" s="3"/>
      <c r="N65" s="7">
        <f t="shared" si="15"/>
        <v>-1</v>
      </c>
      <c r="O65" s="12"/>
      <c r="P65" s="8"/>
      <c r="Q65" s="3"/>
      <c r="R65" s="7">
        <f t="shared" si="16"/>
        <v>0</v>
      </c>
      <c r="S65" s="3"/>
      <c r="T65" s="8">
        <v>240</v>
      </c>
      <c r="U65" s="3"/>
      <c r="V65" s="7">
        <f t="shared" si="17"/>
        <v>1.6248130618722043E-4</v>
      </c>
      <c r="W65" s="3"/>
      <c r="X65" s="8">
        <f t="shared" si="18"/>
        <v>-240</v>
      </c>
      <c r="Y65" s="3"/>
      <c r="Z65" s="7">
        <f t="shared" si="19"/>
        <v>-1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590</v>
      </c>
      <c r="E66" s="2"/>
      <c r="F66" s="6">
        <f t="shared" si="12"/>
        <v>3.4432602936120575E-3</v>
      </c>
      <c r="G66" s="2"/>
      <c r="H66" s="2">
        <f>SUM(OSRRefH22_7x_0)</f>
        <v>590</v>
      </c>
      <c r="I66" s="2"/>
      <c r="J66" s="6">
        <f t="shared" si="13"/>
        <v>5.5296256724587153E-3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7200</v>
      </c>
      <c r="Q66" s="2"/>
      <c r="R66" s="6">
        <f t="shared" si="16"/>
        <v>5.5651041320256651E-3</v>
      </c>
      <c r="S66" s="2"/>
      <c r="T66" s="2">
        <f>SUM(OSRRefT22_7x_0)</f>
        <v>7910</v>
      </c>
      <c r="U66" s="2"/>
      <c r="V66" s="6">
        <f t="shared" si="17"/>
        <v>5.3551130497538069E-3</v>
      </c>
      <c r="W66" s="2"/>
      <c r="X66" s="2">
        <f t="shared" si="18"/>
        <v>-710</v>
      </c>
      <c r="Y66" s="2"/>
      <c r="Z66" s="6">
        <f t="shared" si="19"/>
        <v>-8.9759797724399501E-2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8">
        <v>590</v>
      </c>
      <c r="E67" s="3"/>
      <c r="F67" s="7">
        <f t="shared" si="12"/>
        <v>3.4432602936120575E-3</v>
      </c>
      <c r="G67" s="3"/>
      <c r="H67" s="8">
        <v>590</v>
      </c>
      <c r="I67" s="3"/>
      <c r="J67" s="7">
        <f t="shared" si="13"/>
        <v>5.5296256724587153E-3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>
        <v>7200</v>
      </c>
      <c r="Q67" s="3"/>
      <c r="R67" s="7">
        <f t="shared" si="16"/>
        <v>5.5651041320256651E-3</v>
      </c>
      <c r="S67" s="3"/>
      <c r="T67" s="8">
        <v>7910</v>
      </c>
      <c r="U67" s="3"/>
      <c r="V67" s="7">
        <f t="shared" si="17"/>
        <v>5.3551130497538069E-3</v>
      </c>
      <c r="W67" s="3"/>
      <c r="X67" s="8">
        <f t="shared" si="18"/>
        <v>-710</v>
      </c>
      <c r="Y67" s="3"/>
      <c r="Z67" s="7">
        <f t="shared" si="19"/>
        <v>-8.9759797724399501E-2</v>
      </c>
    </row>
    <row r="68" spans="1:26" s="69" customFormat="1" ht="15" customHeight="1" outlineLevel="1" collapsed="1" x14ac:dyDescent="0.3">
      <c r="A68" s="25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SUM(OSRRefD22_8x_0)</f>
        <v>63.25</v>
      </c>
      <c r="E68" s="2"/>
      <c r="F68" s="6">
        <f t="shared" si="12"/>
        <v>3.6912917554400446E-4</v>
      </c>
      <c r="G68" s="2"/>
      <c r="H68" s="2">
        <f>SUM(OSRRefH22_8x_0)</f>
        <v>310</v>
      </c>
      <c r="I68" s="2"/>
      <c r="J68" s="6">
        <f t="shared" si="13"/>
        <v>2.9053965397664435E-3</v>
      </c>
      <c r="K68" s="2"/>
      <c r="L68" s="2">
        <f t="shared" si="14"/>
        <v>-246.75</v>
      </c>
      <c r="M68" s="2"/>
      <c r="N68" s="6">
        <f t="shared" si="15"/>
        <v>-0.79596774193548392</v>
      </c>
      <c r="O68" s="14"/>
      <c r="P68" s="2">
        <f>SUM(OSRRefP22_8x_0)</f>
        <v>3381.75</v>
      </c>
      <c r="Q68" s="2"/>
      <c r="R68" s="6">
        <f t="shared" si="16"/>
        <v>2.6138598470108049E-3</v>
      </c>
      <c r="S68" s="2"/>
      <c r="T68" s="2">
        <f>SUM(OSRRefT22_8x_0)</f>
        <v>2480</v>
      </c>
      <c r="U68" s="2"/>
      <c r="V68" s="6">
        <f t="shared" si="17"/>
        <v>1.6789734972679445E-3</v>
      </c>
      <c r="W68" s="2"/>
      <c r="X68" s="2">
        <f t="shared" si="18"/>
        <v>901.75</v>
      </c>
      <c r="Y68" s="2"/>
      <c r="Z68" s="6">
        <f t="shared" si="19"/>
        <v>0.36360887096774192</v>
      </c>
    </row>
    <row r="69" spans="1:26" s="70" customFormat="1" ht="15" hidden="1" customHeight="1" outlineLevel="2" x14ac:dyDescent="0.3">
      <c r="A69" s="26"/>
      <c r="B69" s="12" t="str">
        <f>CONCATENATE("          ","6241"," - ","OFFICE EXPENSE")</f>
        <v xml:space="preserve">          6241 - OFFICE EXPENSE</v>
      </c>
      <c r="C69" s="12"/>
      <c r="D69" s="8">
        <v>63.25</v>
      </c>
      <c r="E69" s="3"/>
      <c r="F69" s="7">
        <f t="shared" si="12"/>
        <v>3.6912917554400446E-4</v>
      </c>
      <c r="G69" s="3"/>
      <c r="H69" s="8">
        <v>110</v>
      </c>
      <c r="I69" s="3"/>
      <c r="J69" s="7">
        <f t="shared" si="13"/>
        <v>1.0309471592719638E-3</v>
      </c>
      <c r="K69" s="3"/>
      <c r="L69" s="8">
        <f t="shared" si="14"/>
        <v>-46.75</v>
      </c>
      <c r="M69" s="3"/>
      <c r="N69" s="7">
        <f t="shared" si="15"/>
        <v>-0.42499999999999999</v>
      </c>
      <c r="O69" s="12"/>
      <c r="P69" s="8">
        <v>469.75</v>
      </c>
      <c r="Q69" s="3"/>
      <c r="R69" s="7">
        <f t="shared" si="16"/>
        <v>3.6308439805820229E-4</v>
      </c>
      <c r="S69" s="3"/>
      <c r="T69" s="8">
        <v>880</v>
      </c>
      <c r="U69" s="3"/>
      <c r="V69" s="7">
        <f t="shared" si="17"/>
        <v>5.9576478935314159E-4</v>
      </c>
      <c r="W69" s="3"/>
      <c r="X69" s="8">
        <f t="shared" si="18"/>
        <v>-410.25</v>
      </c>
      <c r="Y69" s="3"/>
      <c r="Z69" s="7">
        <f t="shared" si="19"/>
        <v>-0.46619318181818181</v>
      </c>
    </row>
    <row r="70" spans="1:26" s="70" customFormat="1" ht="15" hidden="1" customHeight="1" outlineLevel="2" x14ac:dyDescent="0.3">
      <c r="A70" s="26"/>
      <c r="B70" s="12" t="str">
        <f>CONCATENATE("          ","6247"," - ","STORE SUPPLIES")</f>
        <v xml:space="preserve">          6247 - STORE SUPPLIES</v>
      </c>
      <c r="C70" s="12"/>
      <c r="D70" s="8"/>
      <c r="E70" s="3"/>
      <c r="F70" s="7">
        <f t="shared" si="12"/>
        <v>0</v>
      </c>
      <c r="G70" s="3"/>
      <c r="H70" s="8">
        <v>200</v>
      </c>
      <c r="I70" s="3"/>
      <c r="J70" s="7">
        <f t="shared" si="13"/>
        <v>1.8744493804944797E-3</v>
      </c>
      <c r="K70" s="3"/>
      <c r="L70" s="8">
        <f t="shared" si="14"/>
        <v>-200</v>
      </c>
      <c r="M70" s="3"/>
      <c r="N70" s="7">
        <f t="shared" si="15"/>
        <v>-1</v>
      </c>
      <c r="O70" s="12"/>
      <c r="P70" s="8">
        <v>2912</v>
      </c>
      <c r="Q70" s="3"/>
      <c r="R70" s="7">
        <f t="shared" si="16"/>
        <v>2.2507754489526025E-3</v>
      </c>
      <c r="S70" s="3"/>
      <c r="T70" s="8">
        <v>1600</v>
      </c>
      <c r="U70" s="3"/>
      <c r="V70" s="7">
        <f t="shared" si="17"/>
        <v>1.083208707914803E-3</v>
      </c>
      <c r="W70" s="3"/>
      <c r="X70" s="8">
        <f t="shared" si="18"/>
        <v>1312</v>
      </c>
      <c r="Y70" s="3"/>
      <c r="Z70" s="7">
        <f t="shared" si="19"/>
        <v>0.82</v>
      </c>
    </row>
    <row r="71" spans="1:26" s="69" customFormat="1" ht="15" customHeight="1" outlineLevel="1" collapsed="1" x14ac:dyDescent="0.3">
      <c r="A71" s="25"/>
      <c r="B71" s="14" t="str">
        <f>CONCATENATE("     ","Telephone/Data Lines                              ")</f>
        <v xml:space="preserve">     Telephone/Data Lines                              </v>
      </c>
      <c r="C71" s="14"/>
      <c r="D71" s="2">
        <f>SUM(OSRRefD22_9x_0)</f>
        <v>179.73</v>
      </c>
      <c r="E71" s="2"/>
      <c r="F71" s="6">
        <f t="shared" si="12"/>
        <v>1.0489104619845679E-3</v>
      </c>
      <c r="G71" s="2"/>
      <c r="H71" s="2">
        <f>SUM(OSRRefH22_9x_0)</f>
        <v>325</v>
      </c>
      <c r="I71" s="2"/>
      <c r="J71" s="6">
        <f t="shared" si="13"/>
        <v>3.0459802433035294E-3</v>
      </c>
      <c r="K71" s="2"/>
      <c r="L71" s="2">
        <f t="shared" si="14"/>
        <v>-145.27000000000001</v>
      </c>
      <c r="M71" s="2"/>
      <c r="N71" s="6">
        <f t="shared" si="15"/>
        <v>-0.44698461538461542</v>
      </c>
      <c r="O71" s="14"/>
      <c r="P71" s="2">
        <f>SUM(OSRRefP22_9x_0)</f>
        <v>1645.33</v>
      </c>
      <c r="Q71" s="2"/>
      <c r="R71" s="6">
        <f t="shared" si="16"/>
        <v>1.2717267752146927E-3</v>
      </c>
      <c r="S71" s="2"/>
      <c r="T71" s="2">
        <f>SUM(OSRRefT22_9x_0)</f>
        <v>2600</v>
      </c>
      <c r="U71" s="2"/>
      <c r="V71" s="6">
        <f t="shared" si="17"/>
        <v>1.7602141503615548E-3</v>
      </c>
      <c r="W71" s="2"/>
      <c r="X71" s="2">
        <f t="shared" si="18"/>
        <v>-954.67000000000007</v>
      </c>
      <c r="Y71" s="2"/>
      <c r="Z71" s="6">
        <f t="shared" si="19"/>
        <v>-0.36718076923076925</v>
      </c>
    </row>
    <row r="72" spans="1:26" s="70" customFormat="1" ht="15" hidden="1" customHeight="1" outlineLevel="2" x14ac:dyDescent="0.3">
      <c r="A72" s="26"/>
      <c r="B72" s="12" t="str">
        <f>CONCATENATE("          ","6309"," - ","TELEPHONE")</f>
        <v xml:space="preserve">          6309 - TELEPHONE</v>
      </c>
      <c r="C72" s="12"/>
      <c r="D72" s="8">
        <v>179.73</v>
      </c>
      <c r="E72" s="3"/>
      <c r="F72" s="7">
        <f t="shared" si="12"/>
        <v>1.0489104619845679E-3</v>
      </c>
      <c r="G72" s="3"/>
      <c r="H72" s="8">
        <v>325</v>
      </c>
      <c r="I72" s="3"/>
      <c r="J72" s="7">
        <f t="shared" si="13"/>
        <v>3.0459802433035294E-3</v>
      </c>
      <c r="K72" s="3"/>
      <c r="L72" s="8">
        <f t="shared" si="14"/>
        <v>-145.27000000000001</v>
      </c>
      <c r="M72" s="3"/>
      <c r="N72" s="7">
        <f t="shared" si="15"/>
        <v>-0.44698461538461542</v>
      </c>
      <c r="O72" s="12"/>
      <c r="P72" s="8">
        <v>1645.33</v>
      </c>
      <c r="Q72" s="3"/>
      <c r="R72" s="7">
        <f t="shared" si="16"/>
        <v>1.2717267752146927E-3</v>
      </c>
      <c r="S72" s="3"/>
      <c r="T72" s="8">
        <v>2600</v>
      </c>
      <c r="U72" s="3"/>
      <c r="V72" s="7">
        <f t="shared" si="17"/>
        <v>1.7602141503615548E-3</v>
      </c>
      <c r="W72" s="3"/>
      <c r="X72" s="8">
        <f t="shared" si="18"/>
        <v>-954.67000000000007</v>
      </c>
      <c r="Y72" s="3"/>
      <c r="Z72" s="7">
        <f t="shared" si="19"/>
        <v>-0.36718076923076925</v>
      </c>
    </row>
    <row r="73" spans="1:26" s="65" customFormat="1" ht="15" customHeight="1" x14ac:dyDescent="0.3">
      <c r="A73" s="35"/>
      <c r="B73" s="35"/>
      <c r="C73" s="35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35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63" customFormat="1" ht="15" customHeight="1" collapsed="1" x14ac:dyDescent="0.3">
      <c r="A74" s="11"/>
      <c r="B74" s="27" t="s">
        <v>291</v>
      </c>
      <c r="C74" s="11"/>
      <c r="D74" s="5">
        <f>SUM(OSRRefD25x_0)</f>
        <v>613.26</v>
      </c>
      <c r="E74" s="5"/>
      <c r="F74" s="13">
        <f>IF(D$12=0,0,D74/D$12)</f>
        <v>3.5790064536619158E-3</v>
      </c>
      <c r="G74" s="5"/>
      <c r="H74" s="5">
        <f>SUM(OSRRefH25x_0)</f>
        <v>898</v>
      </c>
      <c r="I74" s="5"/>
      <c r="J74" s="13">
        <f>IF(H$12=0,0,H74/H$12)</f>
        <v>8.4162777184202137E-3</v>
      </c>
      <c r="K74" s="5"/>
      <c r="L74" s="5">
        <f>+D74-H74</f>
        <v>-284.74</v>
      </c>
      <c r="M74" s="5"/>
      <c r="N74" s="13">
        <f>IF(H74=0,0,L74/H74)</f>
        <v>-0.31708240534521159</v>
      </c>
      <c r="O74" s="11"/>
      <c r="P74" s="5">
        <f>SUM(OSRRefP25x_0)</f>
        <v>4454.01</v>
      </c>
      <c r="Q74" s="5"/>
      <c r="R74" s="13">
        <f>IF(P$12=0,0,P74/P$12)</f>
        <v>3.4426429798727273E-3</v>
      </c>
      <c r="S74" s="5"/>
      <c r="T74" s="5">
        <f>SUM(OSRRefT25x_0)</f>
        <v>13772</v>
      </c>
      <c r="U74" s="5"/>
      <c r="V74" s="13">
        <f>IF(T$12=0,0,T74/T$12)</f>
        <v>9.3237189533766657E-3</v>
      </c>
      <c r="W74" s="5"/>
      <c r="X74" s="5">
        <f>+P74-T74</f>
        <v>-9317.99</v>
      </c>
      <c r="Y74" s="5"/>
      <c r="Z74" s="13">
        <f>IF(T74=0,0,X74/T74)</f>
        <v>-0.67658945686900962</v>
      </c>
    </row>
    <row r="75" spans="1:26" s="70" customFormat="1" ht="15" hidden="1" customHeight="1" outlineLevel="1" x14ac:dyDescent="0.3">
      <c r="A75" s="42"/>
      <c r="B75" s="12" t="str">
        <f>CONCATENATE("          ","4187"," - ","NON-TAXABLE SALES-COMPUTER REP")</f>
        <v xml:space="preserve">          4187 - NON-TAXABLE SALES-COMPUTER REP</v>
      </c>
      <c r="C75" s="12"/>
      <c r="D75" s="3">
        <f>0</f>
        <v>0</v>
      </c>
      <c r="E75" s="3"/>
      <c r="F75" s="20">
        <f>IF(D$12=0,0,D75/D$12)</f>
        <v>0</v>
      </c>
      <c r="G75" s="3"/>
      <c r="H75" s="3"/>
      <c r="I75" s="3"/>
      <c r="J75" s="20">
        <f>IF(H$12=0,0,H75/H$12)</f>
        <v>0</v>
      </c>
      <c r="K75" s="3"/>
      <c r="L75" s="3">
        <f>+D75-H75</f>
        <v>0</v>
      </c>
      <c r="M75" s="3"/>
      <c r="N75" s="20">
        <f>IF(H75=0,0,L75/H75)</f>
        <v>0</v>
      </c>
      <c r="O75" s="12"/>
      <c r="P75" s="3">
        <f>0</f>
        <v>0</v>
      </c>
      <c r="Q75" s="3"/>
      <c r="R75" s="20">
        <f>IF(P$12=0,0,P75/P$12)</f>
        <v>0</v>
      </c>
      <c r="S75" s="3"/>
      <c r="T75" s="3"/>
      <c r="U75" s="3"/>
      <c r="V75" s="20">
        <f>IF(T$12=0,0,T75/T$12)</f>
        <v>0</v>
      </c>
      <c r="W75" s="3"/>
      <c r="X75" s="3">
        <f>+P75-T75</f>
        <v>0</v>
      </c>
      <c r="Y75" s="3"/>
      <c r="Z75" s="20">
        <f>IF(T75=0,0,X75/T75)</f>
        <v>0</v>
      </c>
    </row>
    <row r="76" spans="1:26" s="70" customFormat="1" ht="15" hidden="1" customHeight="1" outlineLevel="1" x14ac:dyDescent="0.3">
      <c r="A76" s="42"/>
      <c r="B76" s="12" t="str">
        <f>CONCATENATE("          ","9087"," - ","")</f>
        <v xml:space="preserve">          9087 - </v>
      </c>
      <c r="C76" s="12"/>
      <c r="D76" s="3">
        <f>--576.08</f>
        <v>576.08000000000004</v>
      </c>
      <c r="E76" s="3"/>
      <c r="F76" s="20">
        <f>IF(D$12=0,0,D76/D$12)</f>
        <v>3.3620226948203971E-3</v>
      </c>
      <c r="G76" s="3"/>
      <c r="H76" s="3"/>
      <c r="I76" s="3"/>
      <c r="J76" s="20">
        <f>IF(H$12=0,0,H76/H$12)</f>
        <v>0</v>
      </c>
      <c r="K76" s="3"/>
      <c r="L76" s="3">
        <f>+D76-H76</f>
        <v>576.08000000000004</v>
      </c>
      <c r="M76" s="3"/>
      <c r="N76" s="20">
        <f>IF(H76=0,0,L76/H76)</f>
        <v>0</v>
      </c>
      <c r="O76" s="12"/>
      <c r="P76" s="3">
        <f>--2207.09</f>
        <v>2207.09</v>
      </c>
      <c r="Q76" s="3"/>
      <c r="R76" s="20">
        <f>IF(P$12=0,0,P76/P$12)</f>
        <v>1.7059285664934064E-3</v>
      </c>
      <c r="S76" s="3"/>
      <c r="T76" s="3"/>
      <c r="U76" s="3"/>
      <c r="V76" s="20">
        <f>IF(T$12=0,0,T76/T$12)</f>
        <v>0</v>
      </c>
      <c r="W76" s="3"/>
      <c r="X76" s="3">
        <f>+P76-T76</f>
        <v>2207.09</v>
      </c>
      <c r="Y76" s="3"/>
      <c r="Z76" s="20">
        <f>IF(T76=0,0,X76/T76)</f>
        <v>0</v>
      </c>
    </row>
    <row r="77" spans="1:26" s="70" customFormat="1" ht="15" hidden="1" customHeight="1" outlineLevel="1" x14ac:dyDescent="0.3">
      <c r="A77" s="42"/>
      <c r="B77" s="12" t="str">
        <f>CONCATENATE("          ","9150"," - ","MISC. INCOME")</f>
        <v xml:space="preserve">          9150 - MISC. INCOME</v>
      </c>
      <c r="C77" s="12"/>
      <c r="D77" s="3">
        <f>--37.18</f>
        <v>37.18</v>
      </c>
      <c r="E77" s="3"/>
      <c r="F77" s="20">
        <f>IF(D$12=0,0,D77/D$12)</f>
        <v>2.1698375884151916E-4</v>
      </c>
      <c r="G77" s="3"/>
      <c r="H77" s="3">
        <v>898</v>
      </c>
      <c r="I77" s="3"/>
      <c r="J77" s="20">
        <f>IF(H$12=0,0,H77/H$12)</f>
        <v>8.4162777184202137E-3</v>
      </c>
      <c r="K77" s="3"/>
      <c r="L77" s="3">
        <f>+D77-H77</f>
        <v>-860.82</v>
      </c>
      <c r="M77" s="3"/>
      <c r="N77" s="20">
        <f>IF(H77=0,0,L77/H77)</f>
        <v>-0.958596881959911</v>
      </c>
      <c r="O77" s="12"/>
      <c r="P77" s="3">
        <f>--2246.92</f>
        <v>2246.92</v>
      </c>
      <c r="Q77" s="3"/>
      <c r="R77" s="20">
        <f>IF(P$12=0,0,P77/P$12)</f>
        <v>1.7367144133793207E-3</v>
      </c>
      <c r="S77" s="3"/>
      <c r="T77" s="3">
        <v>13772</v>
      </c>
      <c r="U77" s="3"/>
      <c r="V77" s="20">
        <f>IF(T$12=0,0,T77/T$12)</f>
        <v>9.3237189533766657E-3</v>
      </c>
      <c r="W77" s="3"/>
      <c r="X77" s="3">
        <f>+P77-T77</f>
        <v>-11525.08</v>
      </c>
      <c r="Y77" s="3"/>
      <c r="Z77" s="20">
        <f>IF(T77=0,0,X77/T77)</f>
        <v>-0.83684867847807143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292</v>
      </c>
      <c r="C79" s="28"/>
      <c r="D79" s="21">
        <f>+D31-D33+D74</f>
        <v>4313.6800000000148</v>
      </c>
      <c r="E79" s="15"/>
      <c r="F79" s="22">
        <f>IF(D$12=0,0,D79/D$12)</f>
        <v>2.517478485313307E-2</v>
      </c>
      <c r="G79" s="15"/>
      <c r="H79" s="21">
        <f>+H31-H33+H74</f>
        <v>-2285.0134888700013</v>
      </c>
      <c r="I79" s="15"/>
      <c r="J79" s="22">
        <f>IF(H$12=0,0,H79/H$12)</f>
        <v>-2.1415710593169518E-2</v>
      </c>
      <c r="K79" s="16"/>
      <c r="L79" s="21">
        <f>+D79-H79</f>
        <v>6598.6934888700162</v>
      </c>
      <c r="M79" s="16"/>
      <c r="N79" s="22">
        <f>IF(H79=0,0,L79/H79)</f>
        <v>-2.8878138011050614</v>
      </c>
      <c r="O79" s="27"/>
      <c r="P79" s="21">
        <f>+P31-P33+P74</f>
        <v>76376.369999999908</v>
      </c>
      <c r="Q79" s="15"/>
      <c r="R79" s="22">
        <f>IF(P$12=0,0,P79/P$12)</f>
        <v>5.9033673927238968E-2</v>
      </c>
      <c r="S79" s="15"/>
      <c r="T79" s="21">
        <f>+T31-T33+T74</f>
        <v>40933.131854387495</v>
      </c>
      <c r="U79" s="15"/>
      <c r="V79" s="22">
        <f>IF(T$12=0,0,T79/T$12)</f>
        <v>2.7711953041810837E-2</v>
      </c>
      <c r="W79" s="16"/>
      <c r="X79" s="21">
        <f>+P79-T79</f>
        <v>35443.238145612413</v>
      </c>
      <c r="Y79" s="16"/>
      <c r="Z79" s="22">
        <f>IF(T79=0,0,X79/T79)</f>
        <v>0.86588141537020857</v>
      </c>
    </row>
    <row r="80" spans="1:26" ht="15" customHeight="1" x14ac:dyDescent="0.3">
      <c r="A80" s="10"/>
      <c r="B80" s="11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49"/>
      <c r="B81" s="11" t="s">
        <v>293</v>
      </c>
      <c r="C81" s="11"/>
      <c r="D81" s="5">
        <v>12919.92</v>
      </c>
      <c r="E81" s="5"/>
      <c r="F81" s="13">
        <f>IF(D$12=0,0,D81/D$12)</f>
        <v>7.5401097512956428E-2</v>
      </c>
      <c r="G81" s="5"/>
      <c r="H81" s="5">
        <v>8866</v>
      </c>
      <c r="I81" s="5"/>
      <c r="J81" s="13">
        <f>IF(H$12=0,0,H81/H$12)</f>
        <v>8.3094341037320288E-2</v>
      </c>
      <c r="K81" s="5"/>
      <c r="L81" s="5">
        <f>+D81-H81</f>
        <v>4053.92</v>
      </c>
      <c r="M81" s="5"/>
      <c r="N81" s="13">
        <f>IF(H81=0,0,L81/H81)</f>
        <v>0.45724340175953082</v>
      </c>
      <c r="O81" s="11"/>
      <c r="P81" s="5">
        <v>161492.66</v>
      </c>
      <c r="Q81" s="5"/>
      <c r="R81" s="13">
        <f>IF(P$12=0,0,P81/P$12)</f>
        <v>0.12482270409136333</v>
      </c>
      <c r="S81" s="5"/>
      <c r="T81" s="5">
        <v>180573</v>
      </c>
      <c r="U81" s="5"/>
      <c r="V81" s="13">
        <f>IF(T$12=0,0,T81/T$12)</f>
        <v>0.12224890375893732</v>
      </c>
      <c r="W81" s="5"/>
      <c r="X81" s="5">
        <f>+P81-T81</f>
        <v>-19080.339999999997</v>
      </c>
      <c r="Y81" s="5"/>
      <c r="Z81" s="13">
        <f>IF(T81=0,0,X81/T81)</f>
        <v>-0.1056655203158833</v>
      </c>
    </row>
    <row r="82" spans="1:26" ht="15" customHeight="1" x14ac:dyDescent="0.3">
      <c r="A82" s="10"/>
      <c r="B82" s="11"/>
      <c r="C82" s="11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O82" s="11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3">
      <c r="A83" s="11"/>
      <c r="B83" s="28" t="s">
        <v>294</v>
      </c>
      <c r="C83" s="28"/>
      <c r="D83" s="33">
        <f>+D79-D81</f>
        <v>-8606.2399999999852</v>
      </c>
      <c r="E83" s="15"/>
      <c r="F83" s="32">
        <f>IF(D$12=0,0,D83/D$12)</f>
        <v>-5.0226312659823358E-2</v>
      </c>
      <c r="G83" s="15"/>
      <c r="H83" s="33">
        <f>+H79-H81</f>
        <v>-11151.013488870001</v>
      </c>
      <c r="I83" s="15"/>
      <c r="J83" s="32">
        <f>IF(H$12=0,0,H83/H$12)</f>
        <v>-0.10451005163048981</v>
      </c>
      <c r="K83" s="16"/>
      <c r="L83" s="33">
        <f>D83-H83</f>
        <v>2544.7734888700161</v>
      </c>
      <c r="M83" s="16"/>
      <c r="N83" s="32">
        <f>IF(H83=0,0,L83/H83)</f>
        <v>-0.2282100628261273</v>
      </c>
      <c r="O83" s="27"/>
      <c r="P83" s="33">
        <f>+P79-P81</f>
        <v>-85116.290000000095</v>
      </c>
      <c r="Q83" s="15"/>
      <c r="R83" s="32">
        <f>IF(P$12=0,0,P83/P$12)</f>
        <v>-6.5789030164124351E-2</v>
      </c>
      <c r="S83" s="15"/>
      <c r="T83" s="33">
        <f>+T79-T81</f>
        <v>-139639.86814561251</v>
      </c>
      <c r="U83" s="15"/>
      <c r="V83" s="32">
        <f>IF(T$12=0,0,T83/T$12)</f>
        <v>-9.4536950717126478E-2</v>
      </c>
      <c r="W83" s="16"/>
      <c r="X83" s="33">
        <f>P83-T83</f>
        <v>54523.57814561241</v>
      </c>
      <c r="Y83" s="16"/>
      <c r="Z83" s="32">
        <f>IF(T83=0,0,X83/T83)</f>
        <v>-0.39045853358123173</v>
      </c>
    </row>
    <row r="84" spans="1:26" ht="15" customHeight="1" x14ac:dyDescent="0.3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ht="15" customHeight="1" x14ac:dyDescent="0.3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3" customFormat="1" ht="15" customHeight="1" x14ac:dyDescent="0.3">
      <c r="A86" s="11"/>
      <c r="B86" s="28" t="s">
        <v>297</v>
      </c>
      <c r="C86" s="28"/>
      <c r="D86" s="34">
        <f>SUM(D83:D85)</f>
        <v>-8606.2399999999852</v>
      </c>
      <c r="E86" s="15"/>
      <c r="F86" s="30">
        <f>IF(D$12=0,0,D86/D$12)</f>
        <v>-5.0226312659823358E-2</v>
      </c>
      <c r="G86" s="15"/>
      <c r="H86" s="34">
        <f>SUM(H83:H85)</f>
        <v>-11151.013488870001</v>
      </c>
      <c r="I86" s="15"/>
      <c r="J86" s="30">
        <f>IF(H$12=0,0,H86/H$12)</f>
        <v>-0.10451005163048981</v>
      </c>
      <c r="K86" s="16"/>
      <c r="L86" s="34">
        <f>+D86-H86</f>
        <v>2544.7734888700161</v>
      </c>
      <c r="M86" s="16"/>
      <c r="N86" s="30">
        <f>IF(H86=0,0,L86/H86)</f>
        <v>-0.2282100628261273</v>
      </c>
      <c r="O86" s="27"/>
      <c r="P86" s="34">
        <f>SUM(P83:P85)</f>
        <v>-85116.290000000095</v>
      </c>
      <c r="Q86" s="15"/>
      <c r="R86" s="30">
        <f>IF(P$12=0,0,P86/P$12)</f>
        <v>-6.5789030164124351E-2</v>
      </c>
      <c r="S86" s="15"/>
      <c r="T86" s="34">
        <f>SUM(T83:T85)</f>
        <v>-139639.86814561251</v>
      </c>
      <c r="U86" s="15"/>
      <c r="V86" s="30">
        <f>IF(T$12=0,0,T86/T$12)</f>
        <v>-9.4536950717126478E-2</v>
      </c>
      <c r="W86" s="16"/>
      <c r="X86" s="34">
        <f>+P86-T86</f>
        <v>54523.57814561241</v>
      </c>
      <c r="Y86" s="16"/>
      <c r="Z86" s="30">
        <f>IF(T86=0,0,X86/T86)</f>
        <v>-0.39045853358123173</v>
      </c>
    </row>
    <row r="87" spans="1:26" ht="15" customHeight="1" x14ac:dyDescent="0.3">
      <c r="A87" s="10"/>
      <c r="C87" s="10"/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0"/>
      <c r="B88" s="57">
        <v>44634.883430555557</v>
      </c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A89" s="10"/>
      <c r="B89" s="56" t="s">
        <v>298</v>
      </c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A90" s="10"/>
      <c r="B90" s="54"/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  <row r="91" spans="1:26" ht="15" customHeight="1" x14ac:dyDescent="0.3">
      <c r="D91" s="19"/>
      <c r="E91" s="19"/>
      <c r="G91" s="19"/>
      <c r="H91" s="19"/>
      <c r="I91" s="19"/>
      <c r="J91" s="41"/>
      <c r="K91" s="19"/>
      <c r="L91" s="19"/>
      <c r="M91" s="19"/>
      <c r="P91" s="19"/>
      <c r="Q91" s="19"/>
      <c r="R91" s="41"/>
      <c r="S91" s="19"/>
      <c r="T91" s="19"/>
      <c r="U91" s="19"/>
      <c r="V91" s="41"/>
      <c r="W91" s="19"/>
      <c r="X91" s="19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5AE35-6D91-C899-8E46-88ECCE92396B}">
  <sheetPr>
    <tabColor rgb="FFFFFF0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304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93865.96</v>
      </c>
      <c r="E12" s="5"/>
      <c r="F12" s="13"/>
      <c r="G12" s="5"/>
      <c r="H12" s="5">
        <f>SUM(OSRRefH13x_0)</f>
        <v>96582</v>
      </c>
      <c r="I12" s="5"/>
      <c r="J12" s="13"/>
      <c r="K12" s="5"/>
      <c r="L12" s="5">
        <f t="shared" ref="L12:L18" si="0">+D12-H12</f>
        <v>-2716.0399999999936</v>
      </c>
      <c r="M12" s="5"/>
      <c r="N12" s="13">
        <f t="shared" ref="N12:N18" si="1">IF(H12=0,0,L12/H12)</f>
        <v>-2.8121596156633673E-2</v>
      </c>
      <c r="O12" s="11"/>
      <c r="P12" s="5">
        <f>SUM(OSRRefP13x_0)</f>
        <v>175106.92</v>
      </c>
      <c r="Q12" s="5"/>
      <c r="R12" s="13"/>
      <c r="S12" s="5"/>
      <c r="T12" s="5">
        <f>SUM(OSRRefT13x_0)</f>
        <v>285581</v>
      </c>
      <c r="U12" s="5"/>
      <c r="V12" s="13"/>
      <c r="W12" s="5"/>
      <c r="X12" s="5">
        <f t="shared" ref="X12:X18" si="2">+P12-T12</f>
        <v>-110474.07999999999</v>
      </c>
      <c r="Y12" s="5"/>
      <c r="Z12" s="13">
        <f t="shared" ref="Z12:Z18" si="3">IF(T12=0,0,X12/T12)</f>
        <v>-0.38683974073905475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--14914.64</f>
        <v>14914.64</v>
      </c>
      <c r="E13" s="3"/>
      <c r="F13" s="20"/>
      <c r="G13" s="3"/>
      <c r="H13" s="3">
        <v>18876</v>
      </c>
      <c r="I13" s="3"/>
      <c r="J13" s="20"/>
      <c r="K13" s="3"/>
      <c r="L13" s="3">
        <f t="shared" si="0"/>
        <v>-3961.3600000000006</v>
      </c>
      <c r="M13" s="3"/>
      <c r="N13" s="20">
        <f t="shared" si="1"/>
        <v>-0.20986225895316807</v>
      </c>
      <c r="O13" s="12"/>
      <c r="P13" s="3">
        <f>--28469.2</f>
        <v>28469.200000000001</v>
      </c>
      <c r="Q13" s="3"/>
      <c r="R13" s="20"/>
      <c r="S13" s="3"/>
      <c r="T13" s="3">
        <v>55831</v>
      </c>
      <c r="U13" s="3"/>
      <c r="V13" s="20"/>
      <c r="W13" s="3"/>
      <c r="X13" s="3">
        <f t="shared" si="2"/>
        <v>-27361.8</v>
      </c>
      <c r="Y13" s="3"/>
      <c r="Z13" s="20">
        <f t="shared" si="3"/>
        <v>-0.49008257061489136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--25.17</f>
        <v>25.17</v>
      </c>
      <c r="E14" s="3"/>
      <c r="F14" s="20"/>
      <c r="G14" s="3"/>
      <c r="H14" s="3"/>
      <c r="I14" s="3"/>
      <c r="J14" s="20"/>
      <c r="K14" s="3"/>
      <c r="L14" s="3">
        <f t="shared" si="0"/>
        <v>25.17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--698.72</f>
        <v>698.72</v>
      </c>
      <c r="Q15" s="3"/>
      <c r="R15" s="20"/>
      <c r="S15" s="3"/>
      <c r="T15" s="3"/>
      <c r="U15" s="3"/>
      <c r="V15" s="20"/>
      <c r="W15" s="3"/>
      <c r="X15" s="3">
        <f t="shared" si="2"/>
        <v>698.72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--78719.83</f>
        <v>78719.83</v>
      </c>
      <c r="E16" s="3"/>
      <c r="F16" s="20"/>
      <c r="G16" s="3"/>
      <c r="H16" s="3">
        <v>77706</v>
      </c>
      <c r="I16" s="3"/>
      <c r="J16" s="20"/>
      <c r="K16" s="3"/>
      <c r="L16" s="3">
        <f t="shared" si="0"/>
        <v>1013.8300000000017</v>
      </c>
      <c r="M16" s="3"/>
      <c r="N16" s="20">
        <f t="shared" si="1"/>
        <v>1.3046997657838542E-2</v>
      </c>
      <c r="O16" s="12"/>
      <c r="P16" s="3">
        <f>--145707.51</f>
        <v>145707.51</v>
      </c>
      <c r="Q16" s="3"/>
      <c r="R16" s="20"/>
      <c r="S16" s="3"/>
      <c r="T16" s="3">
        <v>229750</v>
      </c>
      <c r="U16" s="3"/>
      <c r="V16" s="20"/>
      <c r="W16" s="3"/>
      <c r="X16" s="3">
        <f t="shared" si="2"/>
        <v>-84042.489999999991</v>
      </c>
      <c r="Y16" s="3"/>
      <c r="Z16" s="20">
        <f t="shared" si="3"/>
        <v>-0.3657997388465723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--206.32</f>
        <v>206.32</v>
      </c>
      <c r="E17" s="3"/>
      <c r="F17" s="20"/>
      <c r="G17" s="3"/>
      <c r="H17" s="3"/>
      <c r="I17" s="3"/>
      <c r="J17" s="20"/>
      <c r="K17" s="3"/>
      <c r="L17" s="3">
        <f t="shared" si="0"/>
        <v>206.32</v>
      </c>
      <c r="M17" s="3"/>
      <c r="N17" s="20">
        <f t="shared" si="1"/>
        <v>0</v>
      </c>
      <c r="O17" s="12"/>
      <c r="P17" s="3">
        <f>--206.32</f>
        <v>206.32</v>
      </c>
      <c r="Q17" s="3"/>
      <c r="R17" s="20"/>
      <c r="S17" s="3"/>
      <c r="T17" s="3"/>
      <c r="U17" s="3"/>
      <c r="V17" s="20"/>
      <c r="W17" s="3"/>
      <c r="X17" s="3">
        <f t="shared" si="2"/>
        <v>206.32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7" t="s">
        <v>288</v>
      </c>
      <c r="C20" s="11"/>
      <c r="D20" s="5">
        <f>SUM(OSRRefD16x_0)</f>
        <v>45739.7</v>
      </c>
      <c r="E20" s="5"/>
      <c r="F20" s="13">
        <f>IF(D$12=0,0,D20/D$12)</f>
        <v>0.48728740429437883</v>
      </c>
      <c r="G20" s="5"/>
      <c r="H20" s="5">
        <f>SUM(OSRRefH16x_0)</f>
        <v>47492</v>
      </c>
      <c r="I20" s="5"/>
      <c r="J20" s="13">
        <f>IF(H$12=0,0,H20/H$12)</f>
        <v>0.49172723695926779</v>
      </c>
      <c r="K20" s="5"/>
      <c r="L20" s="5">
        <f>+D20-H20</f>
        <v>-1752.3000000000029</v>
      </c>
      <c r="M20" s="5"/>
      <c r="N20" s="13">
        <f>IF(H20=0,0,L20/H20)</f>
        <v>-3.6896740503663837E-2</v>
      </c>
      <c r="O20" s="11"/>
      <c r="P20" s="5">
        <f>SUM(OSRRefP16x_0)</f>
        <v>98084.79</v>
      </c>
      <c r="Q20" s="5"/>
      <c r="R20" s="13">
        <f>IF(P$12=0,0,P20/P$12)</f>
        <v>0.56014228335464977</v>
      </c>
      <c r="S20" s="5"/>
      <c r="T20" s="5">
        <f>SUM(OSRRefT16x_0)</f>
        <v>140105</v>
      </c>
      <c r="U20" s="5"/>
      <c r="V20" s="13">
        <f>IF(T$12=0,0,T20/T$12)</f>
        <v>0.49059636320343442</v>
      </c>
      <c r="W20" s="5"/>
      <c r="X20" s="5">
        <f>+P20-T20</f>
        <v>-42020.210000000006</v>
      </c>
      <c r="Y20" s="5"/>
      <c r="Z20" s="13">
        <f>IF(T20=0,0,X20/T20)</f>
        <v>-0.29991941757967244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>
        <v>-10213</v>
      </c>
      <c r="E21" s="3"/>
      <c r="F21" s="20">
        <f>IF(D$12=0,0,D21/D$12)</f>
        <v>-0.10880408616712596</v>
      </c>
      <c r="G21" s="3"/>
      <c r="H21" s="3">
        <v>47492</v>
      </c>
      <c r="I21" s="3"/>
      <c r="J21" s="20">
        <f>IF(H$12=0,0,H21/H$12)</f>
        <v>0.49172723695926779</v>
      </c>
      <c r="K21" s="3"/>
      <c r="L21" s="3">
        <f>+D21-H21</f>
        <v>-57705</v>
      </c>
      <c r="M21" s="3"/>
      <c r="N21" s="20">
        <f>IF(H21=0,0,L21/H21)</f>
        <v>-1.2150467447148994</v>
      </c>
      <c r="O21" s="12"/>
      <c r="P21" s="3">
        <v>-10213</v>
      </c>
      <c r="Q21" s="3"/>
      <c r="R21" s="20">
        <f>IF(P$12=0,0,P21/P$12)</f>
        <v>-5.8324365479102705E-2</v>
      </c>
      <c r="S21" s="3"/>
      <c r="T21" s="3">
        <v>140105</v>
      </c>
      <c r="U21" s="3"/>
      <c r="V21" s="20">
        <f>IF(T$12=0,0,T21/T$12)</f>
        <v>0.49059636320343442</v>
      </c>
      <c r="W21" s="3"/>
      <c r="X21" s="3">
        <f>+P21-T21</f>
        <v>-150318</v>
      </c>
      <c r="Y21" s="3"/>
      <c r="Z21" s="20">
        <f>IF(T21=0,0,X21/T21)</f>
        <v>-1.0728953285036222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/>
      <c r="E22" s="3"/>
      <c r="F22" s="20">
        <f>IF(D$12=0,0,D22/D$12)</f>
        <v>0</v>
      </c>
      <c r="G22" s="3"/>
      <c r="H22" s="3"/>
      <c r="I22" s="3"/>
      <c r="J22" s="20">
        <f>IF(H$12=0,0,H22/H$12)</f>
        <v>0</v>
      </c>
      <c r="K22" s="3"/>
      <c r="L22" s="3">
        <f>+D22-H22</f>
        <v>0</v>
      </c>
      <c r="M22" s="3"/>
      <c r="N22" s="20">
        <f>IF(H22=0,0,L22/H22)</f>
        <v>0</v>
      </c>
      <c r="O22" s="12"/>
      <c r="P22" s="3">
        <v>41937.61</v>
      </c>
      <c r="Q22" s="3"/>
      <c r="R22" s="20">
        <f>IF(P$12=0,0,P22/P$12)</f>
        <v>0.23949715979242853</v>
      </c>
      <c r="S22" s="3"/>
      <c r="T22" s="3"/>
      <c r="U22" s="3"/>
      <c r="V22" s="20">
        <f>IF(T$12=0,0,T22/T$12)</f>
        <v>0</v>
      </c>
      <c r="W22" s="3"/>
      <c r="X22" s="3">
        <f>+P22-T22</f>
        <v>41937.61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55952.7</v>
      </c>
      <c r="E23" s="3"/>
      <c r="F23" s="20">
        <f>IF(D$12=0,0,D23/D$12)</f>
        <v>0.59609149046150478</v>
      </c>
      <c r="G23" s="3"/>
      <c r="H23" s="3"/>
      <c r="I23" s="3"/>
      <c r="J23" s="20">
        <f>IF(H$12=0,0,H23/H$12)</f>
        <v>0</v>
      </c>
      <c r="K23" s="3"/>
      <c r="L23" s="3">
        <f>+D23-H23</f>
        <v>55952.7</v>
      </c>
      <c r="M23" s="3"/>
      <c r="N23" s="20">
        <f>IF(H23=0,0,L23/H23)</f>
        <v>0</v>
      </c>
      <c r="O23" s="12"/>
      <c r="P23" s="3">
        <v>66360.179999999993</v>
      </c>
      <c r="Q23" s="3"/>
      <c r="R23" s="20">
        <f>IF(P$12=0,0,P23/P$12)</f>
        <v>0.37896948904132394</v>
      </c>
      <c r="S23" s="3"/>
      <c r="T23" s="3"/>
      <c r="U23" s="3"/>
      <c r="V23" s="20">
        <f>IF(T$12=0,0,T23/T$12)</f>
        <v>0</v>
      </c>
      <c r="W23" s="3"/>
      <c r="X23" s="3">
        <f>+P23-T23</f>
        <v>66360.179999999993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8" t="s">
        <v>289</v>
      </c>
      <c r="C25" s="28"/>
      <c r="D25" s="21">
        <f>D12-D20</f>
        <v>48126.260000000009</v>
      </c>
      <c r="E25" s="15"/>
      <c r="F25" s="22">
        <f>IF(D$12=0,0,D25/D$12)</f>
        <v>0.51271259570562111</v>
      </c>
      <c r="G25" s="15"/>
      <c r="H25" s="21">
        <f>H12-H20</f>
        <v>49090</v>
      </c>
      <c r="I25" s="15"/>
      <c r="J25" s="22">
        <f>IF(H$12=0,0,H25/H$12)</f>
        <v>0.50827276304073221</v>
      </c>
      <c r="K25" s="16"/>
      <c r="L25" s="21">
        <f>+D25-H25</f>
        <v>-963.73999999999069</v>
      </c>
      <c r="M25" s="16"/>
      <c r="N25" s="22">
        <f>IF(H25=0,0,L25/H25)</f>
        <v>-1.9632104298227555E-2</v>
      </c>
      <c r="O25" s="27"/>
      <c r="P25" s="21">
        <f>P12-P20</f>
        <v>77022.130000000019</v>
      </c>
      <c r="Q25" s="15"/>
      <c r="R25" s="22">
        <f>IF(P$12=0,0,P25/P$12)</f>
        <v>0.43985771664535023</v>
      </c>
      <c r="S25" s="15"/>
      <c r="T25" s="21">
        <f>T12-T20</f>
        <v>145476</v>
      </c>
      <c r="U25" s="15"/>
      <c r="V25" s="22">
        <f>IF(T$12=0,0,T25/T$12)</f>
        <v>0.50940363679656564</v>
      </c>
      <c r="W25" s="16"/>
      <c r="X25" s="21">
        <f>+P25-T25</f>
        <v>-68453.869999999981</v>
      </c>
      <c r="Y25" s="16"/>
      <c r="Z25" s="22">
        <f>IF(T25=0,0,X25/T25)</f>
        <v>-0.47055094998487712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7" t="s">
        <v>290</v>
      </c>
      <c r="C27" s="11"/>
      <c r="D27" s="23" cm="1">
        <f t="array" ref="D27">SUM(OSRRefD22x_0)</f>
        <v>54090.270000000011</v>
      </c>
      <c r="E27" s="23"/>
      <c r="F27" s="29">
        <f t="shared" ref="F27:F58" si="4">IF(D$12=0,0,D27/D$12)</f>
        <v>0.57625011239431212</v>
      </c>
      <c r="G27" s="23"/>
      <c r="H27" s="23" cm="1">
        <f t="array" ref="H27">SUM(OSRRefH22x_0)</f>
        <v>45315.239967307687</v>
      </c>
      <c r="I27" s="23"/>
      <c r="J27" s="29">
        <f t="shared" ref="J27:J58" si="5">IF(H$12=0,0,H27/H$12)</f>
        <v>0.46918928959130779</v>
      </c>
      <c r="K27" s="5"/>
      <c r="L27" s="23">
        <f t="shared" ref="L27:L58" si="6">+D27-H27</f>
        <v>8775.0300326923243</v>
      </c>
      <c r="M27" s="5"/>
      <c r="N27" s="29">
        <f t="shared" ref="N27:N58" si="7">IF(H27=0,0,L27/H27)</f>
        <v>0.19364412588398514</v>
      </c>
      <c r="O27" s="11"/>
      <c r="P27" s="23" cm="1">
        <f t="array" ref="P27">SUM(OSRRefP22x_0)</f>
        <v>203631.26000000004</v>
      </c>
      <c r="Q27" s="23"/>
      <c r="R27" s="29">
        <f t="shared" ref="R27:R58" si="8">IF(P$12=0,0,P27/P$12)</f>
        <v>1.1628967033398796</v>
      </c>
      <c r="S27" s="23"/>
      <c r="T27" s="23" cm="1">
        <f t="array" ref="T27">SUM(OSRRefT22x_0)</f>
        <v>287723.71106694231</v>
      </c>
      <c r="U27" s="23"/>
      <c r="V27" s="29">
        <f t="shared" ref="V27:V58" si="9">IF(T$12=0,0,T27/T$12)</f>
        <v>1.00750298887861</v>
      </c>
      <c r="W27" s="5"/>
      <c r="X27" s="23">
        <f t="shared" ref="X27:X58" si="10">+P27-T27</f>
        <v>-84092.451066942274</v>
      </c>
      <c r="Y27" s="5"/>
      <c r="Z27" s="29">
        <f t="shared" ref="Z27:Z58" si="11">IF(T27=0,0,X27/T27)</f>
        <v>-0.29226806075560863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6663.8600000000006</v>
      </c>
      <c r="E28" s="2"/>
      <c r="F28" s="6">
        <f t="shared" si="4"/>
        <v>7.0993361171611091E-2</v>
      </c>
      <c r="G28" s="2"/>
      <c r="H28" s="2">
        <f>SUM(OSRRefH22_0x_0)</f>
        <v>4800.36453653846</v>
      </c>
      <c r="I28" s="2"/>
      <c r="J28" s="6">
        <f t="shared" si="5"/>
        <v>4.9702475994889937E-2</v>
      </c>
      <c r="K28" s="2"/>
      <c r="L28" s="2">
        <f t="shared" si="6"/>
        <v>1863.4954634615406</v>
      </c>
      <c r="M28" s="2"/>
      <c r="N28" s="6">
        <f t="shared" si="7"/>
        <v>0.3881987397576489</v>
      </c>
      <c r="O28" s="14"/>
      <c r="P28" s="2">
        <f>SUM(OSRRefP22_0x_0)</f>
        <v>15658.329999999998</v>
      </c>
      <c r="Q28" s="2"/>
      <c r="R28" s="6">
        <f t="shared" si="8"/>
        <v>8.9421537424106357E-2</v>
      </c>
      <c r="S28" s="2"/>
      <c r="T28" s="2">
        <f>SUM(OSRRefT22_0x_0)</f>
        <v>35577.630447711519</v>
      </c>
      <c r="U28" s="2"/>
      <c r="V28" s="6">
        <f t="shared" si="9"/>
        <v>0.12457982305444522</v>
      </c>
      <c r="W28" s="2"/>
      <c r="X28" s="2">
        <f t="shared" si="10"/>
        <v>-19919.300447711521</v>
      </c>
      <c r="Y28" s="2"/>
      <c r="Z28" s="6">
        <f t="shared" si="11"/>
        <v>-0.55988271835548287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8">
        <v>1021.75</v>
      </c>
      <c r="E29" s="3"/>
      <c r="F29" s="7">
        <f t="shared" si="4"/>
        <v>1.0885202686895227E-2</v>
      </c>
      <c r="G29" s="3"/>
      <c r="H29" s="8">
        <v>685.75295192307703</v>
      </c>
      <c r="I29" s="3"/>
      <c r="J29" s="7">
        <f t="shared" si="5"/>
        <v>7.100214863256891E-3</v>
      </c>
      <c r="K29" s="3"/>
      <c r="L29" s="8">
        <f t="shared" si="6"/>
        <v>335.99704807692297</v>
      </c>
      <c r="M29" s="3"/>
      <c r="N29" s="7">
        <f t="shared" si="7"/>
        <v>0.48996806668447673</v>
      </c>
      <c r="O29" s="12"/>
      <c r="P29" s="8">
        <v>3151.18</v>
      </c>
      <c r="Q29" s="3"/>
      <c r="R29" s="7">
        <f t="shared" si="8"/>
        <v>1.7995747969297843E-2</v>
      </c>
      <c r="S29" s="3"/>
      <c r="T29" s="8">
        <v>4902.1404823269204</v>
      </c>
      <c r="U29" s="3"/>
      <c r="V29" s="7">
        <f t="shared" si="9"/>
        <v>1.7165499393611342E-2</v>
      </c>
      <c r="W29" s="3"/>
      <c r="X29" s="8">
        <f t="shared" si="10"/>
        <v>-1750.9604823269206</v>
      </c>
      <c r="Y29" s="3"/>
      <c r="Z29" s="7">
        <f t="shared" si="11"/>
        <v>-0.35718284464499567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8">
        <v>325.41000000000003</v>
      </c>
      <c r="E30" s="3"/>
      <c r="F30" s="7">
        <f t="shared" si="4"/>
        <v>3.4667519513996341E-3</v>
      </c>
      <c r="G30" s="3"/>
      <c r="H30" s="8">
        <v>766.54784938461501</v>
      </c>
      <c r="I30" s="3"/>
      <c r="J30" s="7">
        <f t="shared" si="5"/>
        <v>7.9367568427306853E-3</v>
      </c>
      <c r="K30" s="3"/>
      <c r="L30" s="8">
        <f t="shared" si="6"/>
        <v>-441.13784938461498</v>
      </c>
      <c r="M30" s="3"/>
      <c r="N30" s="7">
        <f t="shared" si="7"/>
        <v>-0.57548638319024792</v>
      </c>
      <c r="O30" s="12"/>
      <c r="P30" s="8">
        <v>1006.64</v>
      </c>
      <c r="Q30" s="3"/>
      <c r="R30" s="7">
        <f t="shared" si="8"/>
        <v>5.7487162700366147E-3</v>
      </c>
      <c r="S30" s="3"/>
      <c r="T30" s="8">
        <v>4625.71122411538</v>
      </c>
      <c r="U30" s="3"/>
      <c r="V30" s="7">
        <f t="shared" si="9"/>
        <v>1.6197545439351289E-2</v>
      </c>
      <c r="W30" s="3"/>
      <c r="X30" s="8">
        <f t="shared" si="10"/>
        <v>-3619.0712241153801</v>
      </c>
      <c r="Y30" s="3"/>
      <c r="Z30" s="7">
        <f t="shared" si="11"/>
        <v>-0.78238157307528222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8">
        <v>3036.68</v>
      </c>
      <c r="E31" s="3"/>
      <c r="F31" s="7">
        <f t="shared" si="4"/>
        <v>3.2351237871535106E-2</v>
      </c>
      <c r="G31" s="3"/>
      <c r="H31" s="8">
        <v>1977</v>
      </c>
      <c r="I31" s="3"/>
      <c r="J31" s="7">
        <f t="shared" si="5"/>
        <v>2.0469652730322422E-2</v>
      </c>
      <c r="K31" s="3"/>
      <c r="L31" s="8">
        <f t="shared" si="6"/>
        <v>1059.6799999999998</v>
      </c>
      <c r="M31" s="3"/>
      <c r="N31" s="7">
        <f t="shared" si="7"/>
        <v>0.53600404653515421</v>
      </c>
      <c r="O31" s="12"/>
      <c r="P31" s="8">
        <v>6107.14</v>
      </c>
      <c r="Q31" s="3"/>
      <c r="R31" s="7">
        <f t="shared" si="8"/>
        <v>3.487663423010353E-2</v>
      </c>
      <c r="S31" s="3"/>
      <c r="T31" s="8">
        <v>15816</v>
      </c>
      <c r="U31" s="3"/>
      <c r="V31" s="7">
        <f t="shared" si="9"/>
        <v>5.5381835626319681E-2</v>
      </c>
      <c r="W31" s="3"/>
      <c r="X31" s="8">
        <f t="shared" si="10"/>
        <v>-9708.86</v>
      </c>
      <c r="Y31" s="3"/>
      <c r="Z31" s="7">
        <f t="shared" si="11"/>
        <v>-0.61386317653009614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8">
        <v>57.16</v>
      </c>
      <c r="E32" s="3"/>
      <c r="F32" s="7">
        <f t="shared" si="4"/>
        <v>6.0895344808703804E-4</v>
      </c>
      <c r="G32" s="3"/>
      <c r="H32" s="8">
        <v>42.4736275384615</v>
      </c>
      <c r="I32" s="3"/>
      <c r="J32" s="7">
        <f t="shared" si="5"/>
        <v>4.3976752954444408E-4</v>
      </c>
      <c r="K32" s="3"/>
      <c r="L32" s="8">
        <f t="shared" si="6"/>
        <v>14.686372461538497</v>
      </c>
      <c r="M32" s="3"/>
      <c r="N32" s="7">
        <f t="shared" si="7"/>
        <v>0.3457762690092675</v>
      </c>
      <c r="O32" s="12"/>
      <c r="P32" s="8">
        <v>154.41</v>
      </c>
      <c r="Q32" s="3"/>
      <c r="R32" s="7">
        <f t="shared" si="8"/>
        <v>8.8180410003214026E-4</v>
      </c>
      <c r="S32" s="3"/>
      <c r="T32" s="8">
        <v>256.30589896153799</v>
      </c>
      <c r="U32" s="3"/>
      <c r="V32" s="7">
        <f t="shared" si="9"/>
        <v>8.9748932513555868E-4</v>
      </c>
      <c r="W32" s="3"/>
      <c r="X32" s="8">
        <f t="shared" si="10"/>
        <v>-101.89589896153799</v>
      </c>
      <c r="Y32" s="3"/>
      <c r="Z32" s="7">
        <f t="shared" si="11"/>
        <v>-0.39755580879872293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8">
        <v>548.17999999999995</v>
      </c>
      <c r="E33" s="3"/>
      <c r="F33" s="7">
        <f t="shared" si="4"/>
        <v>5.8400297615876931E-3</v>
      </c>
      <c r="G33" s="3"/>
      <c r="H33" s="8">
        <v>397.928615384615</v>
      </c>
      <c r="I33" s="3"/>
      <c r="J33" s="7">
        <f t="shared" si="5"/>
        <v>4.120111567213508E-3</v>
      </c>
      <c r="K33" s="3"/>
      <c r="L33" s="8">
        <f t="shared" si="6"/>
        <v>150.25138461538495</v>
      </c>
      <c r="M33" s="3"/>
      <c r="N33" s="7">
        <f t="shared" si="7"/>
        <v>0.37758376454068421</v>
      </c>
      <c r="O33" s="12"/>
      <c r="P33" s="8">
        <v>1096.3599999999999</v>
      </c>
      <c r="Q33" s="3"/>
      <c r="R33" s="7">
        <f t="shared" si="8"/>
        <v>6.2610889392606516E-3</v>
      </c>
      <c r="S33" s="3"/>
      <c r="T33" s="8">
        <v>3481.87538461538</v>
      </c>
      <c r="U33" s="3"/>
      <c r="V33" s="7">
        <f t="shared" si="9"/>
        <v>1.2192251531493271E-2</v>
      </c>
      <c r="W33" s="3"/>
      <c r="X33" s="8">
        <f t="shared" si="10"/>
        <v>-2385.5153846153798</v>
      </c>
      <c r="Y33" s="3"/>
      <c r="Z33" s="7">
        <f t="shared" si="11"/>
        <v>-0.6851237109621291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8"/>
      <c r="E34" s="3"/>
      <c r="F34" s="7">
        <f t="shared" si="4"/>
        <v>0</v>
      </c>
      <c r="G34" s="3"/>
      <c r="H34" s="8">
        <v>0</v>
      </c>
      <c r="I34" s="3"/>
      <c r="J34" s="7">
        <f t="shared" si="5"/>
        <v>0</v>
      </c>
      <c r="K34" s="3"/>
      <c r="L34" s="8">
        <f t="shared" si="6"/>
        <v>0</v>
      </c>
      <c r="M34" s="3"/>
      <c r="N34" s="7">
        <f t="shared" si="7"/>
        <v>0</v>
      </c>
      <c r="O34" s="12"/>
      <c r="P34" s="8"/>
      <c r="Q34" s="3"/>
      <c r="R34" s="7">
        <f t="shared" si="8"/>
        <v>0</v>
      </c>
      <c r="S34" s="3"/>
      <c r="T34" s="8">
        <v>0</v>
      </c>
      <c r="U34" s="3"/>
      <c r="V34" s="7">
        <f t="shared" si="9"/>
        <v>0</v>
      </c>
      <c r="W34" s="3"/>
      <c r="X34" s="8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8">
        <v>250.77</v>
      </c>
      <c r="E35" s="3"/>
      <c r="F35" s="7">
        <f t="shared" si="4"/>
        <v>2.6715755104406327E-3</v>
      </c>
      <c r="G35" s="3"/>
      <c r="H35" s="8"/>
      <c r="I35" s="3"/>
      <c r="J35" s="7">
        <f t="shared" si="5"/>
        <v>0</v>
      </c>
      <c r="K35" s="3"/>
      <c r="L35" s="8">
        <f t="shared" si="6"/>
        <v>250.77</v>
      </c>
      <c r="M35" s="3"/>
      <c r="N35" s="7">
        <f t="shared" si="7"/>
        <v>0</v>
      </c>
      <c r="O35" s="12"/>
      <c r="P35" s="8">
        <v>462.43</v>
      </c>
      <c r="Q35" s="3"/>
      <c r="R35" s="7">
        <f t="shared" si="8"/>
        <v>2.6408436628318284E-3</v>
      </c>
      <c r="S35" s="3"/>
      <c r="T35" s="8"/>
      <c r="U35" s="3"/>
      <c r="V35" s="7">
        <f t="shared" si="9"/>
        <v>0</v>
      </c>
      <c r="W35" s="3"/>
      <c r="X35" s="8">
        <f t="shared" si="10"/>
        <v>462.43</v>
      </c>
      <c r="Y35" s="3"/>
      <c r="Z35" s="7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8">
        <v>531.67999999999995</v>
      </c>
      <c r="E36" s="3"/>
      <c r="F36" s="7">
        <f t="shared" si="4"/>
        <v>5.6642471882245695E-3</v>
      </c>
      <c r="G36" s="3"/>
      <c r="H36" s="8">
        <v>231.35384615384601</v>
      </c>
      <c r="I36" s="3"/>
      <c r="J36" s="7">
        <f t="shared" si="5"/>
        <v>2.3954137018683194E-3</v>
      </c>
      <c r="K36" s="3"/>
      <c r="L36" s="8">
        <f t="shared" si="6"/>
        <v>300.32615384615394</v>
      </c>
      <c r="M36" s="3"/>
      <c r="N36" s="7">
        <f t="shared" si="7"/>
        <v>1.2981247506317342</v>
      </c>
      <c r="O36" s="12"/>
      <c r="P36" s="8">
        <v>1308.22</v>
      </c>
      <c r="Q36" s="3"/>
      <c r="R36" s="7">
        <f t="shared" si="8"/>
        <v>7.4709783028563343E-3</v>
      </c>
      <c r="S36" s="3"/>
      <c r="T36" s="8">
        <v>2024.3461538461499</v>
      </c>
      <c r="U36" s="3"/>
      <c r="V36" s="7">
        <f t="shared" si="9"/>
        <v>7.088518332263526E-3</v>
      </c>
      <c r="W36" s="3"/>
      <c r="X36" s="8">
        <f t="shared" si="10"/>
        <v>-716.12615384614992</v>
      </c>
      <c r="Y36" s="3"/>
      <c r="Z36" s="7">
        <f t="shared" si="11"/>
        <v>-0.35375676856724741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8">
        <v>427.98</v>
      </c>
      <c r="E37" s="3"/>
      <c r="F37" s="7">
        <f t="shared" si="4"/>
        <v>4.5594803483605768E-3</v>
      </c>
      <c r="G37" s="3"/>
      <c r="H37" s="8">
        <v>699.30764615384601</v>
      </c>
      <c r="I37" s="3"/>
      <c r="J37" s="7">
        <f t="shared" si="5"/>
        <v>7.2405587599536766E-3</v>
      </c>
      <c r="K37" s="3"/>
      <c r="L37" s="8">
        <f t="shared" si="6"/>
        <v>-271.32764615384599</v>
      </c>
      <c r="M37" s="3"/>
      <c r="N37" s="7">
        <f t="shared" si="7"/>
        <v>-0.3879946796608521</v>
      </c>
      <c r="O37" s="12"/>
      <c r="P37" s="8">
        <v>1149.33</v>
      </c>
      <c r="Q37" s="3"/>
      <c r="R37" s="7">
        <f t="shared" si="8"/>
        <v>6.5635898341424763E-3</v>
      </c>
      <c r="S37" s="3"/>
      <c r="T37" s="8">
        <v>4471.2513038461502</v>
      </c>
      <c r="U37" s="3"/>
      <c r="V37" s="7">
        <f t="shared" si="9"/>
        <v>1.565668340627055E-2</v>
      </c>
      <c r="W37" s="3"/>
      <c r="X37" s="8">
        <f t="shared" si="10"/>
        <v>-3321.9213038461503</v>
      </c>
      <c r="Y37" s="3"/>
      <c r="Z37" s="7">
        <f t="shared" si="11"/>
        <v>-0.7429511512780882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8">
        <v>464.25</v>
      </c>
      <c r="E38" s="3"/>
      <c r="F38" s="7">
        <f t="shared" si="4"/>
        <v>4.9458824050806057E-3</v>
      </c>
      <c r="G38" s="3"/>
      <c r="H38" s="8"/>
      <c r="I38" s="3"/>
      <c r="J38" s="7">
        <f t="shared" si="5"/>
        <v>0</v>
      </c>
      <c r="K38" s="3"/>
      <c r="L38" s="8">
        <f t="shared" si="6"/>
        <v>464.25</v>
      </c>
      <c r="M38" s="3"/>
      <c r="N38" s="7">
        <f t="shared" si="7"/>
        <v>0</v>
      </c>
      <c r="O38" s="12"/>
      <c r="P38" s="8">
        <v>1222.6199999999999</v>
      </c>
      <c r="Q38" s="3"/>
      <c r="R38" s="7">
        <f t="shared" si="8"/>
        <v>6.982134115544947E-3</v>
      </c>
      <c r="S38" s="3"/>
      <c r="T38" s="8"/>
      <c r="U38" s="3"/>
      <c r="V38" s="7">
        <f t="shared" si="9"/>
        <v>0</v>
      </c>
      <c r="W38" s="3"/>
      <c r="X38" s="8">
        <f t="shared" si="10"/>
        <v>1222.6199999999999</v>
      </c>
      <c r="Y38" s="3"/>
      <c r="Z38" s="7">
        <f t="shared" si="11"/>
        <v>0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27163</v>
      </c>
      <c r="E39" s="2"/>
      <c r="F39" s="6">
        <f t="shared" si="4"/>
        <v>0.28938072971287992</v>
      </c>
      <c r="G39" s="2"/>
      <c r="H39" s="2">
        <f>SUM(OSRRefH22_1x_0)</f>
        <v>19294.875430769229</v>
      </c>
      <c r="I39" s="2"/>
      <c r="J39" s="6">
        <f t="shared" si="5"/>
        <v>0.19977713684505632</v>
      </c>
      <c r="K39" s="2"/>
      <c r="L39" s="2">
        <f t="shared" si="6"/>
        <v>7868.1245692307712</v>
      </c>
      <c r="M39" s="2"/>
      <c r="N39" s="6">
        <f t="shared" si="7"/>
        <v>0.40778312342372519</v>
      </c>
      <c r="O39" s="14"/>
      <c r="P39" s="2">
        <f>SUM(OSRRefP22_1x_0)</f>
        <v>66037.840000000011</v>
      </c>
      <c r="Q39" s="2"/>
      <c r="R39" s="6">
        <f t="shared" si="8"/>
        <v>0.37712867087148816</v>
      </c>
      <c r="S39" s="2"/>
      <c r="T39" s="2">
        <f>SUM(OSRRefT22_1x_0)</f>
        <v>115554.83061923081</v>
      </c>
      <c r="U39" s="2"/>
      <c r="V39" s="6">
        <f t="shared" si="9"/>
        <v>0.40463066737363762</v>
      </c>
      <c r="W39" s="2"/>
      <c r="X39" s="2">
        <f t="shared" si="10"/>
        <v>-49516.990619230797</v>
      </c>
      <c r="Y39" s="2"/>
      <c r="Z39" s="6">
        <f t="shared" si="11"/>
        <v>-0.42851510710440266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8"/>
      <c r="E40" s="3"/>
      <c r="F40" s="7">
        <f t="shared" si="4"/>
        <v>0</v>
      </c>
      <c r="G40" s="3"/>
      <c r="H40" s="8">
        <v>0</v>
      </c>
      <c r="I40" s="3"/>
      <c r="J40" s="7">
        <f t="shared" si="5"/>
        <v>0</v>
      </c>
      <c r="K40" s="3"/>
      <c r="L40" s="8">
        <f t="shared" si="6"/>
        <v>0</v>
      </c>
      <c r="M40" s="3"/>
      <c r="N40" s="7">
        <f t="shared" si="7"/>
        <v>0</v>
      </c>
      <c r="O40" s="12"/>
      <c r="P40" s="8"/>
      <c r="Q40" s="3"/>
      <c r="R40" s="7">
        <f t="shared" si="8"/>
        <v>0</v>
      </c>
      <c r="S40" s="3"/>
      <c r="T40" s="8">
        <v>0</v>
      </c>
      <c r="U40" s="3"/>
      <c r="V40" s="7">
        <f t="shared" si="9"/>
        <v>0</v>
      </c>
      <c r="W40" s="3"/>
      <c r="X40" s="8">
        <f t="shared" si="10"/>
        <v>0</v>
      </c>
      <c r="Y40" s="3"/>
      <c r="Z40" s="7">
        <f t="shared" si="11"/>
        <v>0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8">
        <v>5038.46</v>
      </c>
      <c r="E41" s="3"/>
      <c r="F41" s="7">
        <f t="shared" si="4"/>
        <v>5.3677179671949231E-2</v>
      </c>
      <c r="G41" s="3"/>
      <c r="H41" s="8">
        <v>4164.3692307692299</v>
      </c>
      <c r="I41" s="3"/>
      <c r="J41" s="7">
        <f t="shared" si="5"/>
        <v>4.3117446633629763E-2</v>
      </c>
      <c r="K41" s="3"/>
      <c r="L41" s="8">
        <f t="shared" si="6"/>
        <v>874.09076923077009</v>
      </c>
      <c r="M41" s="3"/>
      <c r="N41" s="7">
        <f t="shared" si="7"/>
        <v>0.20989751887810165</v>
      </c>
      <c r="O41" s="12"/>
      <c r="P41" s="8">
        <v>11085</v>
      </c>
      <c r="Q41" s="3"/>
      <c r="R41" s="7">
        <f t="shared" si="8"/>
        <v>6.330418009750842E-2</v>
      </c>
      <c r="S41" s="3"/>
      <c r="T41" s="8">
        <v>36438.230769230802</v>
      </c>
      <c r="U41" s="3"/>
      <c r="V41" s="7">
        <f t="shared" si="9"/>
        <v>0.12759332998074382</v>
      </c>
      <c r="W41" s="3"/>
      <c r="X41" s="8">
        <f t="shared" si="10"/>
        <v>-25353.230769230802</v>
      </c>
      <c r="Y41" s="3"/>
      <c r="Z41" s="7">
        <f t="shared" si="11"/>
        <v>-0.69578654709656196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8">
        <v>6601.4</v>
      </c>
      <c r="E43" s="3"/>
      <c r="F43" s="7">
        <f t="shared" si="4"/>
        <v>7.0327944230261952E-2</v>
      </c>
      <c r="G43" s="3"/>
      <c r="H43" s="8">
        <v>4203.4949999999999</v>
      </c>
      <c r="I43" s="3"/>
      <c r="J43" s="7">
        <f t="shared" si="5"/>
        <v>4.3522550785860717E-2</v>
      </c>
      <c r="K43" s="3"/>
      <c r="L43" s="8">
        <f t="shared" si="6"/>
        <v>2397.9049999999997</v>
      </c>
      <c r="M43" s="3"/>
      <c r="N43" s="7">
        <f t="shared" si="7"/>
        <v>0.57045506179976424</v>
      </c>
      <c r="O43" s="12"/>
      <c r="P43" s="8">
        <v>14161.33</v>
      </c>
      <c r="Q43" s="3"/>
      <c r="R43" s="7">
        <f t="shared" si="8"/>
        <v>8.0872474942737832E-2</v>
      </c>
      <c r="S43" s="3"/>
      <c r="T43" s="8">
        <v>22861.178250000001</v>
      </c>
      <c r="U43" s="3"/>
      <c r="V43" s="7">
        <f t="shared" si="9"/>
        <v>8.0051467884768246E-2</v>
      </c>
      <c r="W43" s="3"/>
      <c r="X43" s="8">
        <f t="shared" si="10"/>
        <v>-8699.8482500000009</v>
      </c>
      <c r="Y43" s="3"/>
      <c r="Z43" s="7">
        <f t="shared" si="11"/>
        <v>-0.38055117522212578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8">
        <v>4202.3</v>
      </c>
      <c r="E44" s="3"/>
      <c r="F44" s="7">
        <f t="shared" si="4"/>
        <v>4.4769158063263828E-2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4202.3</v>
      </c>
      <c r="M44" s="3"/>
      <c r="N44" s="7">
        <f t="shared" si="7"/>
        <v>0</v>
      </c>
      <c r="O44" s="12"/>
      <c r="P44" s="8">
        <v>18297.330000000002</v>
      </c>
      <c r="Q44" s="3"/>
      <c r="R44" s="7">
        <f t="shared" si="8"/>
        <v>0.10449232960068054</v>
      </c>
      <c r="S44" s="3"/>
      <c r="T44" s="8">
        <v>0</v>
      </c>
      <c r="U44" s="3"/>
      <c r="V44" s="7">
        <f t="shared" si="9"/>
        <v>0</v>
      </c>
      <c r="W44" s="3"/>
      <c r="X44" s="8">
        <f t="shared" si="10"/>
        <v>18297.330000000002</v>
      </c>
      <c r="Y44" s="3"/>
      <c r="Z44" s="7">
        <f t="shared" si="11"/>
        <v>0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8">
        <v>641</v>
      </c>
      <c r="E45" s="3"/>
      <c r="F45" s="7">
        <f t="shared" si="4"/>
        <v>6.8288866379249726E-3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641</v>
      </c>
      <c r="M45" s="3"/>
      <c r="N45" s="7">
        <f t="shared" si="7"/>
        <v>0</v>
      </c>
      <c r="O45" s="12"/>
      <c r="P45" s="8">
        <v>641</v>
      </c>
      <c r="Q45" s="3"/>
      <c r="R45" s="7">
        <f t="shared" si="8"/>
        <v>3.6606206082546592E-3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641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8">
        <v>9535.0400000000009</v>
      </c>
      <c r="E46" s="3"/>
      <c r="F46" s="7">
        <f t="shared" si="4"/>
        <v>0.1015814465648676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9535.0400000000009</v>
      </c>
      <c r="M46" s="3"/>
      <c r="N46" s="7">
        <f t="shared" si="7"/>
        <v>0</v>
      </c>
      <c r="O46" s="12"/>
      <c r="P46" s="8">
        <v>20708.38</v>
      </c>
      <c r="Q46" s="3"/>
      <c r="R46" s="7">
        <f t="shared" si="8"/>
        <v>0.11826134569667492</v>
      </c>
      <c r="S46" s="3"/>
      <c r="T46" s="8">
        <v>0</v>
      </c>
      <c r="U46" s="3"/>
      <c r="V46" s="7">
        <f t="shared" si="9"/>
        <v>0</v>
      </c>
      <c r="W46" s="3"/>
      <c r="X46" s="8">
        <f t="shared" si="10"/>
        <v>20708.38</v>
      </c>
      <c r="Y46" s="3"/>
      <c r="Z46" s="7">
        <f t="shared" si="11"/>
        <v>0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8">
        <v>1144.8</v>
      </c>
      <c r="E47" s="3"/>
      <c r="F47" s="7">
        <f t="shared" si="4"/>
        <v>1.2196114544612337E-2</v>
      </c>
      <c r="G47" s="3"/>
      <c r="H47" s="8">
        <v>10927.011200000001</v>
      </c>
      <c r="I47" s="3"/>
      <c r="J47" s="7">
        <f t="shared" si="5"/>
        <v>0.11313713942556584</v>
      </c>
      <c r="K47" s="3"/>
      <c r="L47" s="8">
        <f t="shared" si="6"/>
        <v>-9782.2112000000016</v>
      </c>
      <c r="M47" s="3"/>
      <c r="N47" s="7">
        <f t="shared" si="7"/>
        <v>-0.89523210152836674</v>
      </c>
      <c r="O47" s="12"/>
      <c r="P47" s="8">
        <v>1144.8</v>
      </c>
      <c r="Q47" s="3"/>
      <c r="R47" s="7">
        <f t="shared" si="8"/>
        <v>6.5377199256317214E-3</v>
      </c>
      <c r="S47" s="3"/>
      <c r="T47" s="8">
        <v>56255.421600000001</v>
      </c>
      <c r="U47" s="3"/>
      <c r="V47" s="7">
        <f t="shared" si="9"/>
        <v>0.19698586950812555</v>
      </c>
      <c r="W47" s="3"/>
      <c r="X47" s="8">
        <f t="shared" si="10"/>
        <v>-55110.621599999999</v>
      </c>
      <c r="Y47" s="3"/>
      <c r="Z47" s="7">
        <f t="shared" si="11"/>
        <v>-0.97964996141811866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8"/>
      <c r="E48" s="3"/>
      <c r="F48" s="7">
        <f t="shared" si="4"/>
        <v>0</v>
      </c>
      <c r="G48" s="3"/>
      <c r="H48" s="8">
        <v>0</v>
      </c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/>
      <c r="Q48" s="3"/>
      <c r="R48" s="7">
        <f t="shared" si="8"/>
        <v>0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8"/>
      <c r="E49" s="3"/>
      <c r="F49" s="7">
        <f t="shared" si="4"/>
        <v>0</v>
      </c>
      <c r="G49" s="3"/>
      <c r="H49" s="8">
        <v>0</v>
      </c>
      <c r="I49" s="3"/>
      <c r="J49" s="7">
        <f t="shared" si="5"/>
        <v>0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/>
      <c r="Q49" s="3"/>
      <c r="R49" s="7">
        <f t="shared" si="8"/>
        <v>0</v>
      </c>
      <c r="S49" s="3"/>
      <c r="T49" s="8">
        <v>0</v>
      </c>
      <c r="U49" s="3"/>
      <c r="V49" s="7">
        <f t="shared" si="9"/>
        <v>0</v>
      </c>
      <c r="W49" s="3"/>
      <c r="X49" s="8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525.14</v>
      </c>
      <c r="E50" s="2"/>
      <c r="F50" s="6">
        <f t="shared" si="4"/>
        <v>5.5945733682370045E-3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525.14</v>
      </c>
      <c r="M50" s="2"/>
      <c r="N50" s="6">
        <f t="shared" si="7"/>
        <v>0</v>
      </c>
      <c r="O50" s="14"/>
      <c r="P50" s="2">
        <f>SUM(OSRRefP22_2x_0)</f>
        <v>616.36</v>
      </c>
      <c r="Q50" s="2"/>
      <c r="R50" s="6">
        <f t="shared" si="8"/>
        <v>3.5199065805052135E-3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616.36</v>
      </c>
      <c r="Y50" s="2"/>
      <c r="Z50" s="6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8">
        <v>525.14</v>
      </c>
      <c r="E51" s="3"/>
      <c r="F51" s="7">
        <f t="shared" si="4"/>
        <v>5.5945733682370045E-3</v>
      </c>
      <c r="G51" s="3"/>
      <c r="H51" s="8"/>
      <c r="I51" s="3"/>
      <c r="J51" s="7">
        <f t="shared" si="5"/>
        <v>0</v>
      </c>
      <c r="K51" s="3"/>
      <c r="L51" s="8">
        <f t="shared" si="6"/>
        <v>525.14</v>
      </c>
      <c r="M51" s="3"/>
      <c r="N51" s="7">
        <f t="shared" si="7"/>
        <v>0</v>
      </c>
      <c r="O51" s="12"/>
      <c r="P51" s="8">
        <v>616.36</v>
      </c>
      <c r="Q51" s="3"/>
      <c r="R51" s="7">
        <f t="shared" si="8"/>
        <v>3.5199065805052135E-3</v>
      </c>
      <c r="S51" s="3"/>
      <c r="T51" s="8">
        <v>0</v>
      </c>
      <c r="U51" s="3"/>
      <c r="V51" s="7">
        <f t="shared" si="9"/>
        <v>0</v>
      </c>
      <c r="W51" s="3"/>
      <c r="X51" s="8">
        <f t="shared" si="10"/>
        <v>616.36</v>
      </c>
      <c r="Y51" s="3"/>
      <c r="Z51" s="7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-0.21</v>
      </c>
      <c r="E52" s="2"/>
      <c r="F52" s="6">
        <f t="shared" si="4"/>
        <v>-2.2372327518942968E-6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-0.21</v>
      </c>
      <c r="M52" s="2"/>
      <c r="N52" s="6">
        <f t="shared" si="7"/>
        <v>0</v>
      </c>
      <c r="O52" s="14"/>
      <c r="P52" s="2">
        <f>SUM(OSRRefP22_3x_0)</f>
        <v>9.11</v>
      </c>
      <c r="Q52" s="2"/>
      <c r="R52" s="6">
        <f t="shared" si="8"/>
        <v>5.2025356850545936E-5</v>
      </c>
      <c r="S52" s="2"/>
      <c r="T52" s="2">
        <f>SUM(OSRRefT22_3x_0)</f>
        <v>0</v>
      </c>
      <c r="U52" s="2"/>
      <c r="V52" s="6">
        <f t="shared" si="9"/>
        <v>0</v>
      </c>
      <c r="W52" s="2"/>
      <c r="X52" s="2">
        <f t="shared" si="10"/>
        <v>9.11</v>
      </c>
      <c r="Y52" s="2"/>
      <c r="Z52" s="6">
        <f t="shared" si="11"/>
        <v>0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8">
        <v>-0.21</v>
      </c>
      <c r="E53" s="3"/>
      <c r="F53" s="7">
        <f t="shared" si="4"/>
        <v>-2.2372327518942968E-6</v>
      </c>
      <c r="G53" s="3"/>
      <c r="H53" s="8">
        <v>0</v>
      </c>
      <c r="I53" s="3"/>
      <c r="J53" s="7">
        <f t="shared" si="5"/>
        <v>0</v>
      </c>
      <c r="K53" s="3"/>
      <c r="L53" s="8">
        <f t="shared" si="6"/>
        <v>-0.21</v>
      </c>
      <c r="M53" s="3"/>
      <c r="N53" s="7">
        <f t="shared" si="7"/>
        <v>0</v>
      </c>
      <c r="O53" s="12"/>
      <c r="P53" s="8">
        <v>9.11</v>
      </c>
      <c r="Q53" s="3"/>
      <c r="R53" s="7">
        <f t="shared" si="8"/>
        <v>5.2025356850545936E-5</v>
      </c>
      <c r="S53" s="3"/>
      <c r="T53" s="8">
        <v>0</v>
      </c>
      <c r="U53" s="3"/>
      <c r="V53" s="7">
        <f t="shared" si="9"/>
        <v>0</v>
      </c>
      <c r="W53" s="3"/>
      <c r="X53" s="8">
        <f t="shared" si="10"/>
        <v>9.11</v>
      </c>
      <c r="Y53" s="3"/>
      <c r="Z53" s="7">
        <f t="shared" si="11"/>
        <v>0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3941.02</v>
      </c>
      <c r="E54" s="2"/>
      <c r="F54" s="6">
        <f t="shared" si="4"/>
        <v>4.1985614380335531E-2</v>
      </c>
      <c r="G54" s="2"/>
      <c r="H54" s="2">
        <f>SUM(OSRRefH22_4x_0)</f>
        <v>4356</v>
      </c>
      <c r="I54" s="2"/>
      <c r="J54" s="6">
        <f t="shared" si="5"/>
        <v>4.5101571721438777E-2</v>
      </c>
      <c r="K54" s="2"/>
      <c r="L54" s="2">
        <f t="shared" si="6"/>
        <v>-414.98</v>
      </c>
      <c r="M54" s="2"/>
      <c r="N54" s="6">
        <f t="shared" si="7"/>
        <v>-9.5266299357208456E-2</v>
      </c>
      <c r="O54" s="14"/>
      <c r="P54" s="2">
        <f>SUM(OSRRefP22_4x_0)</f>
        <v>8080.3</v>
      </c>
      <c r="Q54" s="2"/>
      <c r="R54" s="6">
        <f t="shared" si="8"/>
        <v>4.6144949611357448E-2</v>
      </c>
      <c r="S54" s="2"/>
      <c r="T54" s="2">
        <f>SUM(OSRRefT22_4x_0)</f>
        <v>12770.25</v>
      </c>
      <c r="U54" s="2"/>
      <c r="V54" s="6">
        <f t="shared" si="9"/>
        <v>4.4716735357044061E-2</v>
      </c>
      <c r="W54" s="2"/>
      <c r="X54" s="2">
        <f t="shared" si="10"/>
        <v>-4689.95</v>
      </c>
      <c r="Y54" s="2"/>
      <c r="Z54" s="6">
        <f t="shared" si="11"/>
        <v>-0.36725592686125957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8">
        <v>3941.02</v>
      </c>
      <c r="E55" s="3"/>
      <c r="F55" s="7">
        <f t="shared" si="4"/>
        <v>4.1985614380335531E-2</v>
      </c>
      <c r="G55" s="3"/>
      <c r="H55" s="8">
        <v>4356</v>
      </c>
      <c r="I55" s="3"/>
      <c r="J55" s="7">
        <f t="shared" si="5"/>
        <v>4.5101571721438777E-2</v>
      </c>
      <c r="K55" s="3"/>
      <c r="L55" s="8">
        <f t="shared" si="6"/>
        <v>-414.98</v>
      </c>
      <c r="M55" s="3"/>
      <c r="N55" s="7">
        <f t="shared" si="7"/>
        <v>-9.5266299357208456E-2</v>
      </c>
      <c r="O55" s="12"/>
      <c r="P55" s="8">
        <v>8080.3</v>
      </c>
      <c r="Q55" s="3"/>
      <c r="R55" s="7">
        <f t="shared" si="8"/>
        <v>4.6144949611357448E-2</v>
      </c>
      <c r="S55" s="3"/>
      <c r="T55" s="8">
        <v>12770.25</v>
      </c>
      <c r="U55" s="3"/>
      <c r="V55" s="7">
        <f t="shared" si="9"/>
        <v>4.4716735357044061E-2</v>
      </c>
      <c r="W55" s="3"/>
      <c r="X55" s="8">
        <f t="shared" si="10"/>
        <v>-4689.95</v>
      </c>
      <c r="Y55" s="3"/>
      <c r="Z55" s="7">
        <f t="shared" si="11"/>
        <v>-0.36725592686125957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6324.75</v>
      </c>
      <c r="E56" s="2"/>
      <c r="F56" s="6">
        <f t="shared" si="4"/>
        <v>6.7380656416873588E-2</v>
      </c>
      <c r="G56" s="2"/>
      <c r="H56" s="2">
        <f>SUM(OSRRefH22_5x_0)</f>
        <v>6324</v>
      </c>
      <c r="I56" s="2"/>
      <c r="J56" s="6">
        <f t="shared" si="5"/>
        <v>6.5478039386221029E-2</v>
      </c>
      <c r="K56" s="2"/>
      <c r="L56" s="2">
        <f t="shared" si="6"/>
        <v>0.75</v>
      </c>
      <c r="M56" s="2"/>
      <c r="N56" s="6">
        <f t="shared" si="7"/>
        <v>1.1859582542694497E-4</v>
      </c>
      <c r="O56" s="14"/>
      <c r="P56" s="2">
        <f>SUM(OSRRefP22_5x_0)</f>
        <v>53030.36</v>
      </c>
      <c r="Q56" s="2"/>
      <c r="R56" s="6">
        <f t="shared" si="8"/>
        <v>0.30284559856343768</v>
      </c>
      <c r="S56" s="2"/>
      <c r="T56" s="2">
        <f>SUM(OSRRefT22_5x_0)</f>
        <v>53022</v>
      </c>
      <c r="U56" s="2"/>
      <c r="V56" s="6">
        <f t="shared" si="9"/>
        <v>0.18566361207503301</v>
      </c>
      <c r="W56" s="2"/>
      <c r="X56" s="2">
        <f t="shared" si="10"/>
        <v>8.3600000000005821</v>
      </c>
      <c r="Y56" s="2"/>
      <c r="Z56" s="6">
        <f t="shared" si="11"/>
        <v>1.5767040096564789E-4</v>
      </c>
    </row>
    <row r="57" spans="1:26" s="70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8">
        <v>5080.51</v>
      </c>
      <c r="E57" s="3"/>
      <c r="F57" s="7">
        <f t="shared" si="4"/>
        <v>5.4125158896792827E-2</v>
      </c>
      <c r="G57" s="3"/>
      <c r="H57" s="8"/>
      <c r="I57" s="3"/>
      <c r="J57" s="7">
        <f t="shared" si="5"/>
        <v>0</v>
      </c>
      <c r="K57" s="3"/>
      <c r="L57" s="8">
        <f t="shared" si="6"/>
        <v>5080.51</v>
      </c>
      <c r="M57" s="3"/>
      <c r="N57" s="7">
        <f t="shared" si="7"/>
        <v>0</v>
      </c>
      <c r="O57" s="12"/>
      <c r="P57" s="8">
        <v>40644.080000000002</v>
      </c>
      <c r="Q57" s="3"/>
      <c r="R57" s="7">
        <f t="shared" si="8"/>
        <v>0.23211007309134327</v>
      </c>
      <c r="S57" s="3"/>
      <c r="T57" s="8"/>
      <c r="U57" s="3"/>
      <c r="V57" s="7">
        <f t="shared" si="9"/>
        <v>0</v>
      </c>
      <c r="W57" s="3"/>
      <c r="X57" s="8">
        <f t="shared" si="10"/>
        <v>40644.080000000002</v>
      </c>
      <c r="Y57" s="3"/>
      <c r="Z57" s="7">
        <f t="shared" si="11"/>
        <v>0</v>
      </c>
    </row>
    <row r="58" spans="1:26" s="70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1244.24</v>
      </c>
      <c r="E58" s="3"/>
      <c r="F58" s="7">
        <f t="shared" si="4"/>
        <v>1.3255497520080761E-2</v>
      </c>
      <c r="G58" s="3"/>
      <c r="H58" s="8">
        <v>6324</v>
      </c>
      <c r="I58" s="3"/>
      <c r="J58" s="7">
        <f t="shared" si="5"/>
        <v>6.5478039386221029E-2</v>
      </c>
      <c r="K58" s="3"/>
      <c r="L58" s="8">
        <f t="shared" si="6"/>
        <v>-5079.76</v>
      </c>
      <c r="M58" s="3"/>
      <c r="N58" s="7">
        <f t="shared" si="7"/>
        <v>-0.80325110689437074</v>
      </c>
      <c r="O58" s="12"/>
      <c r="P58" s="8">
        <v>12386.28</v>
      </c>
      <c r="Q58" s="3"/>
      <c r="R58" s="7">
        <f t="shared" si="8"/>
        <v>7.0735525472094413E-2</v>
      </c>
      <c r="S58" s="3"/>
      <c r="T58" s="8">
        <v>53022</v>
      </c>
      <c r="U58" s="3"/>
      <c r="V58" s="7">
        <f t="shared" si="9"/>
        <v>0.18566361207503301</v>
      </c>
      <c r="W58" s="3"/>
      <c r="X58" s="8">
        <f t="shared" si="10"/>
        <v>-40635.72</v>
      </c>
      <c r="Y58" s="3"/>
      <c r="Z58" s="7">
        <f t="shared" si="11"/>
        <v>-0.76639357247934825</v>
      </c>
    </row>
    <row r="59" spans="1:26" s="69" customFormat="1" ht="15" customHeight="1" outlineLevel="1" collapsed="1" x14ac:dyDescent="0.3">
      <c r="A59" s="25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0</v>
      </c>
      <c r="E59" s="2"/>
      <c r="F59" s="6">
        <f t="shared" ref="F59:F91" si="12">IF(D$12=0,0,D59/D$12)</f>
        <v>0</v>
      </c>
      <c r="G59" s="2"/>
      <c r="H59" s="2">
        <f>SUM(OSRRefH22_6x_0)</f>
        <v>0</v>
      </c>
      <c r="I59" s="2"/>
      <c r="J59" s="6">
        <f t="shared" ref="J59:J91" si="13">IF(H$12=0,0,H59/H$12)</f>
        <v>0</v>
      </c>
      <c r="K59" s="2"/>
      <c r="L59" s="2">
        <f t="shared" ref="L59:L91" si="14">+D59-H59</f>
        <v>0</v>
      </c>
      <c r="M59" s="2"/>
      <c r="N59" s="6">
        <f t="shared" ref="N59:N91" si="15">IF(H59=0,0,L59/H59)</f>
        <v>0</v>
      </c>
      <c r="O59" s="14"/>
      <c r="P59" s="2">
        <f>SUM(OSRRefP22_6x_0)</f>
        <v>0</v>
      </c>
      <c r="Q59" s="2"/>
      <c r="R59" s="6">
        <f t="shared" ref="R59:R91" si="16">IF(P$12=0,0,P59/P$12)</f>
        <v>0</v>
      </c>
      <c r="S59" s="2"/>
      <c r="T59" s="2">
        <f>SUM(OSRRefT22_6x_0)</f>
        <v>50</v>
      </c>
      <c r="U59" s="2"/>
      <c r="V59" s="6">
        <f t="shared" ref="V59:V91" si="17">IF(T$12=0,0,T59/T$12)</f>
        <v>1.7508167560166817E-4</v>
      </c>
      <c r="W59" s="2"/>
      <c r="X59" s="2">
        <f t="shared" ref="X59:X91" si="18">+P59-T59</f>
        <v>-50</v>
      </c>
      <c r="Y59" s="2"/>
      <c r="Z59" s="6">
        <f t="shared" ref="Z59:Z91" si="19">IF(T59=0,0,X59/T59)</f>
        <v>-1</v>
      </c>
    </row>
    <row r="60" spans="1:26" s="70" customFormat="1" ht="15" hidden="1" customHeight="1" outlineLevel="2" x14ac:dyDescent="0.3">
      <c r="A60" s="26"/>
      <c r="B60" s="12" t="str">
        <f>CONCATENATE("          ","6277"," - ","EMPLOYEE APPRECIATION")</f>
        <v xml:space="preserve">          6277 - EMPLOYEE APPRECIATION</v>
      </c>
      <c r="C60" s="12"/>
      <c r="D60" s="8"/>
      <c r="E60" s="3"/>
      <c r="F60" s="7">
        <f t="shared" si="12"/>
        <v>0</v>
      </c>
      <c r="G60" s="3"/>
      <c r="H60" s="8"/>
      <c r="I60" s="3"/>
      <c r="J60" s="7">
        <f t="shared" si="13"/>
        <v>0</v>
      </c>
      <c r="K60" s="3"/>
      <c r="L60" s="8">
        <f t="shared" si="14"/>
        <v>0</v>
      </c>
      <c r="M60" s="3"/>
      <c r="N60" s="7">
        <f t="shared" si="15"/>
        <v>0</v>
      </c>
      <c r="O60" s="12"/>
      <c r="P60" s="8"/>
      <c r="Q60" s="3"/>
      <c r="R60" s="7">
        <f t="shared" si="16"/>
        <v>0</v>
      </c>
      <c r="S60" s="3"/>
      <c r="T60" s="8">
        <v>50</v>
      </c>
      <c r="U60" s="3"/>
      <c r="V60" s="7">
        <f t="shared" si="17"/>
        <v>1.7508167560166817E-4</v>
      </c>
      <c r="W60" s="3"/>
      <c r="X60" s="8">
        <f t="shared" si="18"/>
        <v>-50</v>
      </c>
      <c r="Y60" s="3"/>
      <c r="Z60" s="7">
        <f t="shared" si="19"/>
        <v>-1</v>
      </c>
    </row>
    <row r="61" spans="1:26" s="69" customFormat="1" ht="15" customHeight="1" outlineLevel="1" collapsed="1" x14ac:dyDescent="0.3">
      <c r="A61" s="25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0</v>
      </c>
      <c r="E61" s="2"/>
      <c r="F61" s="6">
        <f t="shared" si="12"/>
        <v>0</v>
      </c>
      <c r="G61" s="2"/>
      <c r="H61" s="2">
        <f>SUM(OSRRefH22_7x_0)</f>
        <v>176</v>
      </c>
      <c r="I61" s="2"/>
      <c r="J61" s="6">
        <f t="shared" si="13"/>
        <v>1.8222857261187386E-3</v>
      </c>
      <c r="K61" s="2"/>
      <c r="L61" s="2">
        <f t="shared" si="14"/>
        <v>-176</v>
      </c>
      <c r="M61" s="2"/>
      <c r="N61" s="6">
        <f t="shared" si="15"/>
        <v>-1</v>
      </c>
      <c r="O61" s="14"/>
      <c r="P61" s="2">
        <f>SUM(OSRRefP22_7x_0)</f>
        <v>30</v>
      </c>
      <c r="Q61" s="2"/>
      <c r="R61" s="6">
        <f t="shared" si="16"/>
        <v>1.7132389742221494E-4</v>
      </c>
      <c r="S61" s="2"/>
      <c r="T61" s="2">
        <f>SUM(OSRRefT22_7x_0)</f>
        <v>1408</v>
      </c>
      <c r="U61" s="2"/>
      <c r="V61" s="6">
        <f t="shared" si="17"/>
        <v>4.9302999849429761E-3</v>
      </c>
      <c r="W61" s="2"/>
      <c r="X61" s="2">
        <f t="shared" si="18"/>
        <v>-1378</v>
      </c>
      <c r="Y61" s="2"/>
      <c r="Z61" s="6">
        <f t="shared" si="19"/>
        <v>-0.97869318181818177</v>
      </c>
    </row>
    <row r="62" spans="1:26" s="70" customFormat="1" ht="15" hidden="1" customHeight="1" outlineLevel="2" x14ac:dyDescent="0.3">
      <c r="A62" s="26"/>
      <c r="B62" s="12" t="str">
        <f>CONCATENATE("          ","6351"," - ","EQUIPMENT RENTAL")</f>
        <v xml:space="preserve">          6351 - EQUIPMENT RENTAL</v>
      </c>
      <c r="C62" s="12"/>
      <c r="D62" s="8"/>
      <c r="E62" s="3"/>
      <c r="F62" s="7">
        <f t="shared" si="12"/>
        <v>0</v>
      </c>
      <c r="G62" s="3"/>
      <c r="H62" s="8">
        <v>176</v>
      </c>
      <c r="I62" s="3"/>
      <c r="J62" s="7">
        <f t="shared" si="13"/>
        <v>1.8222857261187386E-3</v>
      </c>
      <c r="K62" s="3"/>
      <c r="L62" s="8">
        <f t="shared" si="14"/>
        <v>-176</v>
      </c>
      <c r="M62" s="3"/>
      <c r="N62" s="7">
        <f t="shared" si="15"/>
        <v>-1</v>
      </c>
      <c r="O62" s="12"/>
      <c r="P62" s="8">
        <v>30</v>
      </c>
      <c r="Q62" s="3"/>
      <c r="R62" s="7">
        <f t="shared" si="16"/>
        <v>1.7132389742221494E-4</v>
      </c>
      <c r="S62" s="3"/>
      <c r="T62" s="8">
        <v>1408</v>
      </c>
      <c r="U62" s="3"/>
      <c r="V62" s="7">
        <f t="shared" si="17"/>
        <v>4.9302999849429761E-3</v>
      </c>
      <c r="W62" s="3"/>
      <c r="X62" s="8">
        <f t="shared" si="18"/>
        <v>-1378</v>
      </c>
      <c r="Y62" s="3"/>
      <c r="Z62" s="7">
        <f t="shared" si="19"/>
        <v>-0.97869318181818177</v>
      </c>
    </row>
    <row r="63" spans="1:26" s="69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411.65</v>
      </c>
      <c r="E63" s="2"/>
      <c r="F63" s="6">
        <f t="shared" si="12"/>
        <v>4.3855088681775583E-3</v>
      </c>
      <c r="G63" s="2"/>
      <c r="H63" s="2">
        <f>SUM(OSRRefH22_8x_0)</f>
        <v>0</v>
      </c>
      <c r="I63" s="2"/>
      <c r="J63" s="6">
        <f t="shared" si="13"/>
        <v>0</v>
      </c>
      <c r="K63" s="2"/>
      <c r="L63" s="2">
        <f t="shared" si="14"/>
        <v>411.65</v>
      </c>
      <c r="M63" s="2"/>
      <c r="N63" s="6">
        <f t="shared" si="15"/>
        <v>0</v>
      </c>
      <c r="O63" s="14"/>
      <c r="P63" s="2">
        <f>SUM(OSRRefP22_8x_0)</f>
        <v>3761.91</v>
      </c>
      <c r="Q63" s="2"/>
      <c r="R63" s="6">
        <f t="shared" si="16"/>
        <v>2.1483502765053487E-2</v>
      </c>
      <c r="S63" s="2"/>
      <c r="T63" s="2">
        <f>SUM(OSRRefT22_8x_0)</f>
        <v>1210</v>
      </c>
      <c r="U63" s="2"/>
      <c r="V63" s="6">
        <f t="shared" si="17"/>
        <v>4.2369765495603702E-3</v>
      </c>
      <c r="W63" s="2"/>
      <c r="X63" s="2">
        <f t="shared" si="18"/>
        <v>2551.91</v>
      </c>
      <c r="Y63" s="2"/>
      <c r="Z63" s="6">
        <f t="shared" si="19"/>
        <v>2.1090165289256197</v>
      </c>
    </row>
    <row r="64" spans="1:26" s="70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8">
        <v>411.65</v>
      </c>
      <c r="E64" s="3"/>
      <c r="F64" s="7">
        <f t="shared" si="12"/>
        <v>4.3855088681775583E-3</v>
      </c>
      <c r="G64" s="3"/>
      <c r="H64" s="8"/>
      <c r="I64" s="3"/>
      <c r="J64" s="7">
        <f t="shared" si="13"/>
        <v>0</v>
      </c>
      <c r="K64" s="3"/>
      <c r="L64" s="8">
        <f t="shared" si="14"/>
        <v>411.65</v>
      </c>
      <c r="M64" s="3"/>
      <c r="N64" s="7">
        <f t="shared" si="15"/>
        <v>0</v>
      </c>
      <c r="O64" s="12"/>
      <c r="P64" s="8">
        <v>3761.91</v>
      </c>
      <c r="Q64" s="3"/>
      <c r="R64" s="7">
        <f t="shared" si="16"/>
        <v>2.1483502765053487E-2</v>
      </c>
      <c r="S64" s="3"/>
      <c r="T64" s="8">
        <v>1210</v>
      </c>
      <c r="U64" s="3"/>
      <c r="V64" s="7">
        <f t="shared" si="17"/>
        <v>4.2369765495603702E-3</v>
      </c>
      <c r="W64" s="3"/>
      <c r="X64" s="8">
        <f t="shared" si="18"/>
        <v>2551.91</v>
      </c>
      <c r="Y64" s="3"/>
      <c r="Z64" s="7">
        <f t="shared" si="19"/>
        <v>2.1090165289256197</v>
      </c>
    </row>
    <row r="65" spans="1:26" s="69" customFormat="1" ht="15" customHeight="1" outlineLevel="1" collapsed="1" x14ac:dyDescent="0.3">
      <c r="A65" s="25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331.01</v>
      </c>
      <c r="E65" s="2"/>
      <c r="F65" s="6">
        <f t="shared" si="12"/>
        <v>3.5264114914501485E-3</v>
      </c>
      <c r="G65" s="2"/>
      <c r="H65" s="2">
        <f>SUM(OSRRefH22_9x_0)</f>
        <v>330</v>
      </c>
      <c r="I65" s="2"/>
      <c r="J65" s="6">
        <f t="shared" si="13"/>
        <v>3.4167857364726345E-3</v>
      </c>
      <c r="K65" s="2"/>
      <c r="L65" s="2">
        <f t="shared" si="14"/>
        <v>1.0099999999999909</v>
      </c>
      <c r="M65" s="2"/>
      <c r="N65" s="6">
        <f t="shared" si="15"/>
        <v>3.0606060606060332E-3</v>
      </c>
      <c r="O65" s="14"/>
      <c r="P65" s="2">
        <f>SUM(OSRRefP22_9x_0)</f>
        <v>2648.08</v>
      </c>
      <c r="Q65" s="2"/>
      <c r="R65" s="6">
        <f t="shared" si="16"/>
        <v>1.5122646209527298E-2</v>
      </c>
      <c r="S65" s="2"/>
      <c r="T65" s="2">
        <f>SUM(OSRRefT22_9x_0)</f>
        <v>2640</v>
      </c>
      <c r="U65" s="2"/>
      <c r="V65" s="6">
        <f t="shared" si="17"/>
        <v>9.2443124717680805E-3</v>
      </c>
      <c r="W65" s="2"/>
      <c r="X65" s="2">
        <f t="shared" si="18"/>
        <v>8.0799999999999272</v>
      </c>
      <c r="Y65" s="2"/>
      <c r="Z65" s="6">
        <f t="shared" si="19"/>
        <v>3.0606060606060332E-3</v>
      </c>
    </row>
    <row r="66" spans="1:26" s="70" customFormat="1" ht="15" hidden="1" customHeight="1" outlineLevel="2" x14ac:dyDescent="0.3">
      <c r="A66" s="26"/>
      <c r="B66" s="12" t="str">
        <f>CONCATENATE("          ","6314"," - ","LIABILITY INSURANCE")</f>
        <v xml:space="preserve">          6314 - LIABILITY INSURANCE</v>
      </c>
      <c r="C66" s="12"/>
      <c r="D66" s="8">
        <v>331.01</v>
      </c>
      <c r="E66" s="3"/>
      <c r="F66" s="7">
        <f t="shared" si="12"/>
        <v>3.5264114914501485E-3</v>
      </c>
      <c r="G66" s="3"/>
      <c r="H66" s="8">
        <v>330</v>
      </c>
      <c r="I66" s="3"/>
      <c r="J66" s="7">
        <f t="shared" si="13"/>
        <v>3.4167857364726345E-3</v>
      </c>
      <c r="K66" s="3"/>
      <c r="L66" s="8">
        <f t="shared" si="14"/>
        <v>1.0099999999999909</v>
      </c>
      <c r="M66" s="3"/>
      <c r="N66" s="7">
        <f t="shared" si="15"/>
        <v>3.0606060606060332E-3</v>
      </c>
      <c r="O66" s="12"/>
      <c r="P66" s="8">
        <v>2648.08</v>
      </c>
      <c r="Q66" s="3"/>
      <c r="R66" s="7">
        <f t="shared" si="16"/>
        <v>1.5122646209527298E-2</v>
      </c>
      <c r="S66" s="3"/>
      <c r="T66" s="8">
        <v>2640</v>
      </c>
      <c r="U66" s="3"/>
      <c r="V66" s="7">
        <f t="shared" si="17"/>
        <v>9.2443124717680805E-3</v>
      </c>
      <c r="W66" s="3"/>
      <c r="X66" s="8">
        <f t="shared" si="18"/>
        <v>8.0799999999999272</v>
      </c>
      <c r="Y66" s="3"/>
      <c r="Z66" s="7">
        <f t="shared" si="19"/>
        <v>3.0606060606060332E-3</v>
      </c>
    </row>
    <row r="67" spans="1:26" s="69" customFormat="1" ht="15" customHeight="1" outlineLevel="1" collapsed="1" x14ac:dyDescent="0.3">
      <c r="A67" s="25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3905</v>
      </c>
      <c r="E67" s="2"/>
      <c r="F67" s="6">
        <f t="shared" si="12"/>
        <v>4.1601875695939185E-2</v>
      </c>
      <c r="G67" s="2"/>
      <c r="H67" s="2">
        <f>SUM(OSRRefH22_10x_0)</f>
        <v>3905</v>
      </c>
      <c r="I67" s="2"/>
      <c r="J67" s="6">
        <f t="shared" si="13"/>
        <v>4.0431964548259508E-2</v>
      </c>
      <c r="K67" s="2"/>
      <c r="L67" s="2">
        <f t="shared" si="14"/>
        <v>0</v>
      </c>
      <c r="M67" s="2"/>
      <c r="N67" s="6">
        <f t="shared" si="15"/>
        <v>0</v>
      </c>
      <c r="O67" s="14"/>
      <c r="P67" s="2">
        <f>SUM(OSRRefP22_10x_0)</f>
        <v>30964</v>
      </c>
      <c r="Q67" s="2"/>
      <c r="R67" s="6">
        <f t="shared" si="16"/>
        <v>0.17682910532604879</v>
      </c>
      <c r="S67" s="2"/>
      <c r="T67" s="2">
        <f>SUM(OSRRefT22_10x_0)</f>
        <v>31240</v>
      </c>
      <c r="U67" s="2"/>
      <c r="V67" s="6">
        <f t="shared" si="17"/>
        <v>0.10939103091592228</v>
      </c>
      <c r="W67" s="2"/>
      <c r="X67" s="2">
        <f t="shared" si="18"/>
        <v>-276</v>
      </c>
      <c r="Y67" s="2"/>
      <c r="Z67" s="6">
        <f t="shared" si="19"/>
        <v>-8.8348271446862994E-3</v>
      </c>
    </row>
    <row r="68" spans="1:26" s="70" customFormat="1" ht="15" hidden="1" customHeight="1" outlineLevel="2" x14ac:dyDescent="0.3">
      <c r="A68" s="26"/>
      <c r="B68" s="12" t="str">
        <f>CONCATENATE("          ","6401"," - ","INTEREST EXPENSE")</f>
        <v xml:space="preserve">          6401 - INTEREST EXPENSE</v>
      </c>
      <c r="C68" s="12"/>
      <c r="D68" s="8">
        <v>3905</v>
      </c>
      <c r="E68" s="3"/>
      <c r="F68" s="7">
        <f t="shared" si="12"/>
        <v>4.1601875695939185E-2</v>
      </c>
      <c r="G68" s="3"/>
      <c r="H68" s="8">
        <v>3905</v>
      </c>
      <c r="I68" s="3"/>
      <c r="J68" s="7">
        <f t="shared" si="13"/>
        <v>4.0431964548259508E-2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>
        <v>30964</v>
      </c>
      <c r="Q68" s="3"/>
      <c r="R68" s="7">
        <f t="shared" si="16"/>
        <v>0.17682910532604879</v>
      </c>
      <c r="S68" s="3"/>
      <c r="T68" s="8">
        <v>31240</v>
      </c>
      <c r="U68" s="3"/>
      <c r="V68" s="7">
        <f t="shared" si="17"/>
        <v>0.10939103091592228</v>
      </c>
      <c r="W68" s="3"/>
      <c r="X68" s="8">
        <f t="shared" si="18"/>
        <v>-276</v>
      </c>
      <c r="Y68" s="3"/>
      <c r="Z68" s="7">
        <f t="shared" si="19"/>
        <v>-8.8348271446862994E-3</v>
      </c>
    </row>
    <row r="69" spans="1:26" s="69" customFormat="1" ht="15" customHeight="1" outlineLevel="1" collapsed="1" x14ac:dyDescent="0.3">
      <c r="A69" s="25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SUM(OSRRefD22_11x_0)</f>
        <v>2739.51</v>
      </c>
      <c r="E69" s="2"/>
      <c r="F69" s="6">
        <f t="shared" si="12"/>
        <v>2.9185340457818787E-2</v>
      </c>
      <c r="G69" s="2"/>
      <c r="H69" s="2">
        <f>SUM(OSRRefH22_11x_0)</f>
        <v>215</v>
      </c>
      <c r="I69" s="2"/>
      <c r="J69" s="6">
        <f t="shared" si="13"/>
        <v>2.2260876767927771E-3</v>
      </c>
      <c r="K69" s="2"/>
      <c r="L69" s="2">
        <f t="shared" si="14"/>
        <v>2524.5100000000002</v>
      </c>
      <c r="M69" s="2"/>
      <c r="N69" s="6">
        <f t="shared" si="15"/>
        <v>11.741906976744188</v>
      </c>
      <c r="O69" s="14"/>
      <c r="P69" s="2">
        <f>SUM(OSRRefP22_11x_0)</f>
        <v>6042.71</v>
      </c>
      <c r="Q69" s="2"/>
      <c r="R69" s="6">
        <f t="shared" si="16"/>
        <v>3.4508687606406414E-2</v>
      </c>
      <c r="S69" s="2"/>
      <c r="T69" s="2">
        <f>SUM(OSRRefT22_11x_0)</f>
        <v>6959</v>
      </c>
      <c r="U69" s="2"/>
      <c r="V69" s="6">
        <f t="shared" si="17"/>
        <v>2.4367867610240176E-2</v>
      </c>
      <c r="W69" s="2"/>
      <c r="X69" s="2">
        <f t="shared" si="18"/>
        <v>-916.29</v>
      </c>
      <c r="Y69" s="2"/>
      <c r="Z69" s="6">
        <f t="shared" si="19"/>
        <v>-0.13166978014082484</v>
      </c>
    </row>
    <row r="70" spans="1:26" s="70" customFormat="1" ht="15" hidden="1" customHeight="1" outlineLevel="2" x14ac:dyDescent="0.3">
      <c r="A70" s="26"/>
      <c r="B70" s="12" t="str">
        <f>CONCATENATE("          ","6371"," - ","COMPUTER SOFTWARE MAINTENANCE")</f>
        <v xml:space="preserve">          6371 - COMPUTER SOFTWARE MAINTENANCE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/>
      <c r="Q70" s="3"/>
      <c r="R70" s="7">
        <f t="shared" si="16"/>
        <v>0</v>
      </c>
      <c r="S70" s="3"/>
      <c r="T70" s="8">
        <v>2623</v>
      </c>
      <c r="U70" s="3"/>
      <c r="V70" s="7">
        <f t="shared" si="17"/>
        <v>9.1847847020635129E-3</v>
      </c>
      <c r="W70" s="3"/>
      <c r="X70" s="8">
        <f t="shared" si="18"/>
        <v>-2623</v>
      </c>
      <c r="Y70" s="3"/>
      <c r="Z70" s="7">
        <f t="shared" si="19"/>
        <v>-1</v>
      </c>
    </row>
    <row r="71" spans="1:26" s="70" customFormat="1" ht="15" hidden="1" customHeight="1" outlineLevel="2" x14ac:dyDescent="0.3">
      <c r="A71" s="26"/>
      <c r="B71" s="12" t="str">
        <f>CONCATENATE("          ","6373"," - ","MAINTENANCE CONTRACTS")</f>
        <v xml:space="preserve">          6373 - MAINTENANCE CONTRACTS</v>
      </c>
      <c r="C71" s="12"/>
      <c r="D71" s="8"/>
      <c r="E71" s="3"/>
      <c r="F71" s="7">
        <f t="shared" si="12"/>
        <v>0</v>
      </c>
      <c r="G71" s="3"/>
      <c r="H71" s="8"/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817</v>
      </c>
      <c r="Q71" s="3"/>
      <c r="R71" s="7">
        <f t="shared" si="16"/>
        <v>4.6657208064649867E-3</v>
      </c>
      <c r="S71" s="3"/>
      <c r="T71" s="8">
        <v>986</v>
      </c>
      <c r="U71" s="3"/>
      <c r="V71" s="7">
        <f t="shared" si="17"/>
        <v>3.4526106428648964E-3</v>
      </c>
      <c r="W71" s="3"/>
      <c r="X71" s="8">
        <f t="shared" si="18"/>
        <v>-169</v>
      </c>
      <c r="Y71" s="3"/>
      <c r="Z71" s="7">
        <f t="shared" si="19"/>
        <v>-0.17139959432048682</v>
      </c>
    </row>
    <row r="72" spans="1:26" s="70" customFormat="1" ht="15" hidden="1" customHeight="1" outlineLevel="2" x14ac:dyDescent="0.3">
      <c r="A72" s="26"/>
      <c r="B72" s="12" t="str">
        <f>CONCATENATE("          ","6375"," - ","OUTSIDE REPAIRS &amp; MAINTENANCE")</f>
        <v xml:space="preserve">          6375 - OUTSIDE REPAIRS &amp; MAINTENANCE</v>
      </c>
      <c r="C72" s="12"/>
      <c r="D72" s="8">
        <v>2739.51</v>
      </c>
      <c r="E72" s="3"/>
      <c r="F72" s="7">
        <f t="shared" si="12"/>
        <v>2.9185340457818787E-2</v>
      </c>
      <c r="G72" s="3"/>
      <c r="H72" s="8">
        <v>215</v>
      </c>
      <c r="I72" s="3"/>
      <c r="J72" s="7">
        <f t="shared" si="13"/>
        <v>2.2260876767927771E-3</v>
      </c>
      <c r="K72" s="3"/>
      <c r="L72" s="8">
        <f t="shared" si="14"/>
        <v>2524.5100000000002</v>
      </c>
      <c r="M72" s="3"/>
      <c r="N72" s="7">
        <f t="shared" si="15"/>
        <v>11.741906976744188</v>
      </c>
      <c r="O72" s="12"/>
      <c r="P72" s="8">
        <v>5225.71</v>
      </c>
      <c r="Q72" s="3"/>
      <c r="R72" s="7">
        <f t="shared" si="16"/>
        <v>2.9842966799941428E-2</v>
      </c>
      <c r="S72" s="3"/>
      <c r="T72" s="8">
        <v>3350</v>
      </c>
      <c r="U72" s="3"/>
      <c r="V72" s="7">
        <f t="shared" si="17"/>
        <v>1.1730472265311768E-2</v>
      </c>
      <c r="W72" s="3"/>
      <c r="X72" s="8">
        <f t="shared" si="18"/>
        <v>1875.71</v>
      </c>
      <c r="Y72" s="3"/>
      <c r="Z72" s="7">
        <f t="shared" si="19"/>
        <v>0.55991343283582096</v>
      </c>
    </row>
    <row r="73" spans="1:26" s="69" customFormat="1" ht="15" customHeight="1" outlineLevel="1" collapsed="1" x14ac:dyDescent="0.3">
      <c r="A73" s="25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2">
        <f>SUM(OSRRefD22_12x_0)</f>
        <v>0</v>
      </c>
      <c r="E73" s="2"/>
      <c r="F73" s="6">
        <f t="shared" si="12"/>
        <v>0</v>
      </c>
      <c r="G73" s="2"/>
      <c r="H73" s="2">
        <f>SUM(OSRRefH22_12x_0)</f>
        <v>2644</v>
      </c>
      <c r="I73" s="2"/>
      <c r="J73" s="6">
        <f t="shared" si="13"/>
        <v>2.7375701476465595E-2</v>
      </c>
      <c r="K73" s="2"/>
      <c r="L73" s="2">
        <f t="shared" si="14"/>
        <v>-2644</v>
      </c>
      <c r="M73" s="2"/>
      <c r="N73" s="6">
        <f t="shared" si="15"/>
        <v>-1</v>
      </c>
      <c r="O73" s="14"/>
      <c r="P73" s="2">
        <f>SUM(OSRRefP22_12x_0)</f>
        <v>0</v>
      </c>
      <c r="Q73" s="2"/>
      <c r="R73" s="6">
        <f t="shared" si="16"/>
        <v>0</v>
      </c>
      <c r="S73" s="2"/>
      <c r="T73" s="2">
        <f>SUM(OSRRefT22_12x_0)</f>
        <v>7865</v>
      </c>
      <c r="U73" s="2"/>
      <c r="V73" s="6">
        <f t="shared" si="17"/>
        <v>2.7540347572142406E-2</v>
      </c>
      <c r="W73" s="2"/>
      <c r="X73" s="2">
        <f t="shared" si="18"/>
        <v>-7865</v>
      </c>
      <c r="Y73" s="2"/>
      <c r="Z73" s="6">
        <f t="shared" si="19"/>
        <v>-1</v>
      </c>
    </row>
    <row r="74" spans="1:26" s="70" customFormat="1" ht="15" hidden="1" customHeight="1" outlineLevel="2" x14ac:dyDescent="0.3">
      <c r="A74" s="26"/>
      <c r="B74" s="12" t="str">
        <f>CONCATENATE("          ","6259"," - ","ROYALTY &amp; COMMISSIONS")</f>
        <v xml:space="preserve">          6259 - ROYALTY &amp; COMMISSIONS</v>
      </c>
      <c r="C74" s="12"/>
      <c r="D74" s="8"/>
      <c r="E74" s="3"/>
      <c r="F74" s="7">
        <f t="shared" si="12"/>
        <v>0</v>
      </c>
      <c r="G74" s="3"/>
      <c r="H74" s="8">
        <v>2644</v>
      </c>
      <c r="I74" s="3"/>
      <c r="J74" s="7">
        <f t="shared" si="13"/>
        <v>2.7375701476465595E-2</v>
      </c>
      <c r="K74" s="3"/>
      <c r="L74" s="8">
        <f t="shared" si="14"/>
        <v>-2644</v>
      </c>
      <c r="M74" s="3"/>
      <c r="N74" s="7">
        <f t="shared" si="15"/>
        <v>-1</v>
      </c>
      <c r="O74" s="12"/>
      <c r="P74" s="8"/>
      <c r="Q74" s="3"/>
      <c r="R74" s="7">
        <f t="shared" si="16"/>
        <v>0</v>
      </c>
      <c r="S74" s="3"/>
      <c r="T74" s="8">
        <v>7865</v>
      </c>
      <c r="U74" s="3"/>
      <c r="V74" s="7">
        <f t="shared" si="17"/>
        <v>2.7540347572142406E-2</v>
      </c>
      <c r="W74" s="3"/>
      <c r="X74" s="8">
        <f t="shared" si="18"/>
        <v>-7865</v>
      </c>
      <c r="Y74" s="3"/>
      <c r="Z74" s="7">
        <f t="shared" si="19"/>
        <v>-1</v>
      </c>
    </row>
    <row r="75" spans="1:26" s="69" customFormat="1" ht="15" customHeight="1" outlineLevel="1" collapsed="1" x14ac:dyDescent="0.3">
      <c r="A75" s="25"/>
      <c r="B75" s="14" t="str">
        <f>CONCATENATE("     ","Services                                          ")</f>
        <v xml:space="preserve">     Services                                          </v>
      </c>
      <c r="C75" s="14"/>
      <c r="D75" s="2">
        <f>SUM(OSRRefD22_13x_0)</f>
        <v>603.45000000000005</v>
      </c>
      <c r="E75" s="2"/>
      <c r="F75" s="6">
        <f t="shared" si="12"/>
        <v>6.4288481149076832E-3</v>
      </c>
      <c r="G75" s="2"/>
      <c r="H75" s="2">
        <f>SUM(OSRRefH22_13x_0)</f>
        <v>292</v>
      </c>
      <c r="I75" s="2"/>
      <c r="J75" s="6">
        <f t="shared" si="13"/>
        <v>3.0233376819697251E-3</v>
      </c>
      <c r="K75" s="2"/>
      <c r="L75" s="2">
        <f t="shared" si="14"/>
        <v>311.45000000000005</v>
      </c>
      <c r="M75" s="2"/>
      <c r="N75" s="6">
        <f t="shared" si="15"/>
        <v>1.066609589041096</v>
      </c>
      <c r="O75" s="14"/>
      <c r="P75" s="2">
        <f>SUM(OSRRefP22_13x_0)</f>
        <v>10672.400000000001</v>
      </c>
      <c r="Q75" s="2"/>
      <c r="R75" s="6">
        <f t="shared" si="16"/>
        <v>6.0947905428294896E-2</v>
      </c>
      <c r="S75" s="2"/>
      <c r="T75" s="2">
        <f>SUM(OSRRefT22_13x_0)</f>
        <v>2053</v>
      </c>
      <c r="U75" s="2"/>
      <c r="V75" s="6">
        <f t="shared" si="17"/>
        <v>7.1888536002044957E-3</v>
      </c>
      <c r="W75" s="2"/>
      <c r="X75" s="2">
        <f t="shared" si="18"/>
        <v>8619.4000000000015</v>
      </c>
      <c r="Y75" s="2"/>
      <c r="Z75" s="6">
        <f t="shared" si="19"/>
        <v>4.1984413054067229</v>
      </c>
    </row>
    <row r="76" spans="1:26" s="70" customFormat="1" ht="15" hidden="1" customHeight="1" outlineLevel="2" x14ac:dyDescent="0.3">
      <c r="A76" s="26"/>
      <c r="B76" s="12" t="str">
        <f>CONCATENATE("          ","6282"," - ","JANITORIAL/EXTERMINATOR EXPENS")</f>
        <v xml:space="preserve">          6282 - JANITORIAL/EXTERMINATOR EXPENS</v>
      </c>
      <c r="C76" s="12"/>
      <c r="D76" s="8">
        <v>320.25</v>
      </c>
      <c r="E76" s="3"/>
      <c r="F76" s="7">
        <f t="shared" si="12"/>
        <v>3.4117799466388027E-3</v>
      </c>
      <c r="G76" s="3"/>
      <c r="H76" s="8">
        <v>258</v>
      </c>
      <c r="I76" s="3"/>
      <c r="J76" s="7">
        <f t="shared" si="13"/>
        <v>2.6713052121513326E-3</v>
      </c>
      <c r="K76" s="3"/>
      <c r="L76" s="8">
        <f t="shared" si="14"/>
        <v>62.25</v>
      </c>
      <c r="M76" s="3"/>
      <c r="N76" s="7">
        <f t="shared" si="15"/>
        <v>0.24127906976744187</v>
      </c>
      <c r="O76" s="12"/>
      <c r="P76" s="8">
        <v>2393.6</v>
      </c>
      <c r="Q76" s="3"/>
      <c r="R76" s="7">
        <f t="shared" si="16"/>
        <v>1.3669362695660455E-2</v>
      </c>
      <c r="S76" s="3"/>
      <c r="T76" s="8">
        <v>1806</v>
      </c>
      <c r="U76" s="3"/>
      <c r="V76" s="7">
        <f t="shared" si="17"/>
        <v>6.323950122732255E-3</v>
      </c>
      <c r="W76" s="3"/>
      <c r="X76" s="8">
        <f t="shared" si="18"/>
        <v>587.59999999999991</v>
      </c>
      <c r="Y76" s="3"/>
      <c r="Z76" s="7">
        <f t="shared" si="19"/>
        <v>0.32535991140642301</v>
      </c>
    </row>
    <row r="77" spans="1:26" s="70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8">
        <v>226.12</v>
      </c>
      <c r="E77" s="3"/>
      <c r="F77" s="7">
        <f t="shared" si="12"/>
        <v>2.4089669993254208E-3</v>
      </c>
      <c r="G77" s="3"/>
      <c r="H77" s="8"/>
      <c r="I77" s="3"/>
      <c r="J77" s="7">
        <f t="shared" si="13"/>
        <v>0</v>
      </c>
      <c r="K77" s="3"/>
      <c r="L77" s="8">
        <f t="shared" si="14"/>
        <v>226.12</v>
      </c>
      <c r="M77" s="3"/>
      <c r="N77" s="7">
        <f t="shared" si="15"/>
        <v>0</v>
      </c>
      <c r="O77" s="12"/>
      <c r="P77" s="8">
        <v>7681.76</v>
      </c>
      <c r="Q77" s="3"/>
      <c r="R77" s="7">
        <f t="shared" si="16"/>
        <v>4.386896874206913E-2</v>
      </c>
      <c r="S77" s="3"/>
      <c r="T77" s="8"/>
      <c r="U77" s="3"/>
      <c r="V77" s="7">
        <f t="shared" si="17"/>
        <v>0</v>
      </c>
      <c r="W77" s="3"/>
      <c r="X77" s="8">
        <f t="shared" si="18"/>
        <v>7681.76</v>
      </c>
      <c r="Y77" s="3"/>
      <c r="Z77" s="7">
        <f t="shared" si="19"/>
        <v>0</v>
      </c>
    </row>
    <row r="78" spans="1:26" s="70" customFormat="1" ht="15" hidden="1" customHeight="1" outlineLevel="2" x14ac:dyDescent="0.3">
      <c r="A78" s="26"/>
      <c r="B78" s="12" t="str">
        <f>CONCATENATE("          ","6286"," - ","LAUNDRY EXPENSE")</f>
        <v xml:space="preserve">          6286 - LAUNDRY EXPENSE</v>
      </c>
      <c r="C78" s="12"/>
      <c r="D78" s="8">
        <v>57.08</v>
      </c>
      <c r="E78" s="3"/>
      <c r="F78" s="7">
        <f t="shared" si="12"/>
        <v>6.0810116894345926E-4</v>
      </c>
      <c r="G78" s="3"/>
      <c r="H78" s="8">
        <v>34</v>
      </c>
      <c r="I78" s="3"/>
      <c r="J78" s="7">
        <f t="shared" si="13"/>
        <v>3.5203246981839264E-4</v>
      </c>
      <c r="K78" s="3"/>
      <c r="L78" s="8">
        <f t="shared" si="14"/>
        <v>23.08</v>
      </c>
      <c r="M78" s="3"/>
      <c r="N78" s="7">
        <f t="shared" si="15"/>
        <v>0.6788235294117646</v>
      </c>
      <c r="O78" s="12"/>
      <c r="P78" s="8">
        <v>597.04</v>
      </c>
      <c r="Q78" s="3"/>
      <c r="R78" s="7">
        <f t="shared" si="16"/>
        <v>3.4095739905653068E-3</v>
      </c>
      <c r="S78" s="3"/>
      <c r="T78" s="8">
        <v>247</v>
      </c>
      <c r="U78" s="3"/>
      <c r="V78" s="7">
        <f t="shared" si="17"/>
        <v>8.6490347747224076E-4</v>
      </c>
      <c r="W78" s="3"/>
      <c r="X78" s="8">
        <f t="shared" si="18"/>
        <v>350.03999999999996</v>
      </c>
      <c r="Y78" s="3"/>
      <c r="Z78" s="7">
        <f t="shared" si="19"/>
        <v>1.4171659919028339</v>
      </c>
    </row>
    <row r="79" spans="1:26" s="69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SUM(OSRRefD22_14x_0)</f>
        <v>883.59</v>
      </c>
      <c r="E79" s="2"/>
      <c r="F79" s="6">
        <f t="shared" si="12"/>
        <v>9.4133166059346754E-3</v>
      </c>
      <c r="G79" s="2"/>
      <c r="H79" s="2">
        <f>SUM(OSRRefH22_14x_0)</f>
        <v>2800</v>
      </c>
      <c r="I79" s="2"/>
      <c r="J79" s="6">
        <f t="shared" si="13"/>
        <v>2.8990909279161748E-2</v>
      </c>
      <c r="K79" s="2"/>
      <c r="L79" s="2">
        <f t="shared" si="14"/>
        <v>-1916.4099999999999</v>
      </c>
      <c r="M79" s="2"/>
      <c r="N79" s="6">
        <f t="shared" si="15"/>
        <v>-0.68443214285714282</v>
      </c>
      <c r="O79" s="14"/>
      <c r="P79" s="2">
        <f>SUM(OSRRefP22_14x_0)</f>
        <v>3970.36</v>
      </c>
      <c r="Q79" s="2"/>
      <c r="R79" s="6">
        <f t="shared" si="16"/>
        <v>2.2673918312308843E-2</v>
      </c>
      <c r="S79" s="2"/>
      <c r="T79" s="2">
        <f>SUM(OSRRefT22_14x_0)</f>
        <v>15800</v>
      </c>
      <c r="U79" s="2"/>
      <c r="V79" s="6">
        <f t="shared" si="17"/>
        <v>5.5325809490127144E-2</v>
      </c>
      <c r="W79" s="2"/>
      <c r="X79" s="2">
        <f t="shared" si="18"/>
        <v>-11829.64</v>
      </c>
      <c r="Y79" s="2"/>
      <c r="Z79" s="6">
        <f t="shared" si="19"/>
        <v>-0.74871139240506324</v>
      </c>
    </row>
    <row r="80" spans="1:26" s="70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12"/>
        <v>0</v>
      </c>
      <c r="G80" s="3"/>
      <c r="H80" s="8">
        <v>50</v>
      </c>
      <c r="I80" s="3"/>
      <c r="J80" s="7">
        <f t="shared" si="13"/>
        <v>5.1769480855645982E-4</v>
      </c>
      <c r="K80" s="3"/>
      <c r="L80" s="8">
        <f t="shared" si="14"/>
        <v>-50</v>
      </c>
      <c r="M80" s="3"/>
      <c r="N80" s="7">
        <f t="shared" si="15"/>
        <v>-1</v>
      </c>
      <c r="O80" s="12"/>
      <c r="P80" s="8">
        <v>1194.8900000000001</v>
      </c>
      <c r="Q80" s="3"/>
      <c r="R80" s="7">
        <f t="shared" si="16"/>
        <v>6.8237737263610139E-3</v>
      </c>
      <c r="S80" s="3"/>
      <c r="T80" s="8">
        <v>650</v>
      </c>
      <c r="U80" s="3"/>
      <c r="V80" s="7">
        <f t="shared" si="17"/>
        <v>2.2760617828216862E-3</v>
      </c>
      <c r="W80" s="3"/>
      <c r="X80" s="8">
        <f t="shared" si="18"/>
        <v>544.8900000000001</v>
      </c>
      <c r="Y80" s="3"/>
      <c r="Z80" s="7">
        <f t="shared" si="19"/>
        <v>0.83829230769230789</v>
      </c>
    </row>
    <row r="81" spans="1:26" s="70" customFormat="1" ht="15" hidden="1" customHeight="1" outlineLevel="2" x14ac:dyDescent="0.3">
      <c r="A81" s="26"/>
      <c r="B81" s="12" t="str">
        <f>CONCATENATE("          ","6237"," - ","JANITORIAL SUPPLIES")</f>
        <v xml:space="preserve">          6237 - JANITORIAL SUPPLIES</v>
      </c>
      <c r="C81" s="12"/>
      <c r="D81" s="8">
        <v>31.68</v>
      </c>
      <c r="E81" s="3"/>
      <c r="F81" s="7">
        <f t="shared" si="12"/>
        <v>3.3750254085719675E-4</v>
      </c>
      <c r="G81" s="3"/>
      <c r="H81" s="8">
        <v>50</v>
      </c>
      <c r="I81" s="3"/>
      <c r="J81" s="7">
        <f t="shared" si="13"/>
        <v>5.1769480855645982E-4</v>
      </c>
      <c r="K81" s="3"/>
      <c r="L81" s="8">
        <f t="shared" si="14"/>
        <v>-18.32</v>
      </c>
      <c r="M81" s="3"/>
      <c r="N81" s="7">
        <f t="shared" si="15"/>
        <v>-0.3664</v>
      </c>
      <c r="O81" s="12"/>
      <c r="P81" s="8">
        <v>686.91</v>
      </c>
      <c r="Q81" s="3"/>
      <c r="R81" s="7">
        <f t="shared" si="16"/>
        <v>3.9228032792764551E-3</v>
      </c>
      <c r="S81" s="3"/>
      <c r="T81" s="8">
        <v>200</v>
      </c>
      <c r="U81" s="3"/>
      <c r="V81" s="7">
        <f t="shared" si="17"/>
        <v>7.0032670240667268E-4</v>
      </c>
      <c r="W81" s="3"/>
      <c r="X81" s="8">
        <f t="shared" si="18"/>
        <v>486.90999999999997</v>
      </c>
      <c r="Y81" s="3"/>
      <c r="Z81" s="7">
        <f t="shared" si="19"/>
        <v>2.4345499999999998</v>
      </c>
    </row>
    <row r="82" spans="1:26" s="70" customFormat="1" ht="15" hidden="1" customHeight="1" outlineLevel="2" x14ac:dyDescent="0.3">
      <c r="A82" s="26"/>
      <c r="B82" s="12" t="str">
        <f>CONCATENATE("          ","6241"," - ","OFFICE EXPENSE")</f>
        <v xml:space="preserve">          6241 - OFFICE EXPENSE</v>
      </c>
      <c r="C82" s="12"/>
      <c r="D82" s="8">
        <v>108.15</v>
      </c>
      <c r="E82" s="3"/>
      <c r="F82" s="7">
        <f t="shared" si="12"/>
        <v>1.1521748672255628E-3</v>
      </c>
      <c r="G82" s="3"/>
      <c r="H82" s="8"/>
      <c r="I82" s="3"/>
      <c r="J82" s="7">
        <f t="shared" si="13"/>
        <v>0</v>
      </c>
      <c r="K82" s="3"/>
      <c r="L82" s="8">
        <f t="shared" si="14"/>
        <v>108.15</v>
      </c>
      <c r="M82" s="3"/>
      <c r="N82" s="7">
        <f t="shared" si="15"/>
        <v>0</v>
      </c>
      <c r="O82" s="12"/>
      <c r="P82" s="8">
        <v>458.93</v>
      </c>
      <c r="Q82" s="3"/>
      <c r="R82" s="7">
        <f t="shared" si="16"/>
        <v>2.6208558747992366E-3</v>
      </c>
      <c r="S82" s="3"/>
      <c r="T82" s="8"/>
      <c r="U82" s="3"/>
      <c r="V82" s="7">
        <f t="shared" si="17"/>
        <v>0</v>
      </c>
      <c r="W82" s="3"/>
      <c r="X82" s="8">
        <f t="shared" si="18"/>
        <v>458.93</v>
      </c>
      <c r="Y82" s="3"/>
      <c r="Z82" s="7">
        <f t="shared" si="19"/>
        <v>0</v>
      </c>
    </row>
    <row r="83" spans="1:26" s="70" customFormat="1" ht="15" hidden="1" customHeight="1" outlineLevel="2" x14ac:dyDescent="0.3">
      <c r="A83" s="26"/>
      <c r="B83" s="12" t="str">
        <f>CONCATENATE("          ","6243"," - ","PAPER SUPPLIES")</f>
        <v xml:space="preserve">          6243 - PAPER SUPPLIES</v>
      </c>
      <c r="C83" s="12"/>
      <c r="D83" s="8"/>
      <c r="E83" s="3"/>
      <c r="F83" s="7">
        <f t="shared" si="12"/>
        <v>0</v>
      </c>
      <c r="G83" s="3"/>
      <c r="H83" s="8">
        <v>200</v>
      </c>
      <c r="I83" s="3"/>
      <c r="J83" s="7">
        <f t="shared" si="13"/>
        <v>2.0707792342258393E-3</v>
      </c>
      <c r="K83" s="3"/>
      <c r="L83" s="8">
        <f t="shared" si="14"/>
        <v>-200</v>
      </c>
      <c r="M83" s="3"/>
      <c r="N83" s="7">
        <f t="shared" si="15"/>
        <v>-1</v>
      </c>
      <c r="O83" s="12"/>
      <c r="P83" s="8">
        <v>44.38</v>
      </c>
      <c r="Q83" s="3"/>
      <c r="R83" s="7">
        <f t="shared" si="16"/>
        <v>2.5344515225326331E-4</v>
      </c>
      <c r="S83" s="3"/>
      <c r="T83" s="8">
        <v>1400</v>
      </c>
      <c r="U83" s="3"/>
      <c r="V83" s="7">
        <f t="shared" si="17"/>
        <v>4.9022869168467093E-3</v>
      </c>
      <c r="W83" s="3"/>
      <c r="X83" s="8">
        <f t="shared" si="18"/>
        <v>-1355.62</v>
      </c>
      <c r="Y83" s="3"/>
      <c r="Z83" s="7">
        <f t="shared" si="19"/>
        <v>-0.96829999999999994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8">
        <v>743.76</v>
      </c>
      <c r="E84" s="3"/>
      <c r="F84" s="7">
        <f t="shared" si="12"/>
        <v>7.9236391978519151E-3</v>
      </c>
      <c r="G84" s="3"/>
      <c r="H84" s="8">
        <v>2500</v>
      </c>
      <c r="I84" s="3"/>
      <c r="J84" s="7">
        <f t="shared" si="13"/>
        <v>2.5884740427822989E-2</v>
      </c>
      <c r="K84" s="3"/>
      <c r="L84" s="8">
        <f t="shared" si="14"/>
        <v>-1756.24</v>
      </c>
      <c r="M84" s="3"/>
      <c r="N84" s="7">
        <f t="shared" si="15"/>
        <v>-0.70249600000000001</v>
      </c>
      <c r="O84" s="12"/>
      <c r="P84" s="8">
        <v>1585.25</v>
      </c>
      <c r="Q84" s="3"/>
      <c r="R84" s="7">
        <f t="shared" si="16"/>
        <v>9.053040279618875E-3</v>
      </c>
      <c r="S84" s="3"/>
      <c r="T84" s="8">
        <v>13550</v>
      </c>
      <c r="U84" s="3"/>
      <c r="V84" s="7">
        <f t="shared" si="17"/>
        <v>4.7447134088052074E-2</v>
      </c>
      <c r="W84" s="3"/>
      <c r="X84" s="8">
        <f t="shared" si="18"/>
        <v>-11964.75</v>
      </c>
      <c r="Y84" s="3"/>
      <c r="Z84" s="7">
        <f t="shared" si="19"/>
        <v>-0.88300738007380075</v>
      </c>
    </row>
    <row r="85" spans="1:26" s="69" customFormat="1" ht="15" customHeight="1" outlineLevel="1" collapsed="1" x14ac:dyDescent="0.3">
      <c r="A85" s="25"/>
      <c r="B85" s="14" t="str">
        <f>CONCATENATE("     ","Telephone/Data Lines                              ")</f>
        <v xml:space="preserve">     Telephone/Data Lines                              </v>
      </c>
      <c r="C85" s="14"/>
      <c r="D85" s="2">
        <f>SUM(OSRRefD22_15x_0)</f>
        <v>178.5</v>
      </c>
      <c r="E85" s="2"/>
      <c r="F85" s="6">
        <f t="shared" si="12"/>
        <v>1.9016478391101523E-3</v>
      </c>
      <c r="G85" s="2"/>
      <c r="H85" s="2">
        <f>SUM(OSRRefH22_15x_0)</f>
        <v>178</v>
      </c>
      <c r="I85" s="2"/>
      <c r="J85" s="6">
        <f t="shared" si="13"/>
        <v>1.8429935184609968E-3</v>
      </c>
      <c r="K85" s="2"/>
      <c r="L85" s="2">
        <f t="shared" si="14"/>
        <v>0.5</v>
      </c>
      <c r="M85" s="2"/>
      <c r="N85" s="6">
        <f t="shared" si="15"/>
        <v>2.8089887640449437E-3</v>
      </c>
      <c r="O85" s="14"/>
      <c r="P85" s="2">
        <f>SUM(OSRRefP22_15x_0)</f>
        <v>989.5</v>
      </c>
      <c r="Q85" s="2"/>
      <c r="R85" s="6">
        <f t="shared" si="16"/>
        <v>5.6508332166427229E-3</v>
      </c>
      <c r="S85" s="2"/>
      <c r="T85" s="2">
        <f>SUM(OSRRefT22_15x_0)</f>
        <v>1424</v>
      </c>
      <c r="U85" s="2"/>
      <c r="V85" s="6">
        <f t="shared" si="17"/>
        <v>4.9863261211355097E-3</v>
      </c>
      <c r="W85" s="2"/>
      <c r="X85" s="2">
        <f t="shared" si="18"/>
        <v>-434.5</v>
      </c>
      <c r="Y85" s="2"/>
      <c r="Z85" s="6">
        <f t="shared" si="19"/>
        <v>-0.305126404494382</v>
      </c>
    </row>
    <row r="86" spans="1:26" s="70" customFormat="1" ht="15" hidden="1" customHeight="1" outlineLevel="2" x14ac:dyDescent="0.3">
      <c r="A86" s="26"/>
      <c r="B86" s="12" t="str">
        <f>CONCATENATE("          ","6303"," - ","DATA PHONE LINES")</f>
        <v xml:space="preserve">          6303 - DATA PHONE LINES</v>
      </c>
      <c r="C86" s="12"/>
      <c r="D86" s="8"/>
      <c r="E86" s="3"/>
      <c r="F86" s="7">
        <f t="shared" si="12"/>
        <v>0</v>
      </c>
      <c r="G86" s="3"/>
      <c r="H86" s="8">
        <v>50</v>
      </c>
      <c r="I86" s="3"/>
      <c r="J86" s="7">
        <f t="shared" si="13"/>
        <v>5.1769480855645982E-4</v>
      </c>
      <c r="K86" s="3"/>
      <c r="L86" s="8">
        <f t="shared" si="14"/>
        <v>-50</v>
      </c>
      <c r="M86" s="3"/>
      <c r="N86" s="7">
        <f t="shared" si="15"/>
        <v>-1</v>
      </c>
      <c r="O86" s="12"/>
      <c r="P86" s="8"/>
      <c r="Q86" s="3"/>
      <c r="R86" s="7">
        <f t="shared" si="16"/>
        <v>0</v>
      </c>
      <c r="S86" s="3"/>
      <c r="T86" s="8">
        <v>400</v>
      </c>
      <c r="U86" s="3"/>
      <c r="V86" s="7">
        <f t="shared" si="17"/>
        <v>1.4006534048133454E-3</v>
      </c>
      <c r="W86" s="3"/>
      <c r="X86" s="8">
        <f t="shared" si="18"/>
        <v>-400</v>
      </c>
      <c r="Y86" s="3"/>
      <c r="Z86" s="7">
        <f t="shared" si="19"/>
        <v>-1</v>
      </c>
    </row>
    <row r="87" spans="1:26" s="70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8">
        <v>178.5</v>
      </c>
      <c r="E87" s="3"/>
      <c r="F87" s="7">
        <f t="shared" si="12"/>
        <v>1.9016478391101523E-3</v>
      </c>
      <c r="G87" s="3"/>
      <c r="H87" s="8">
        <v>128</v>
      </c>
      <c r="I87" s="3"/>
      <c r="J87" s="7">
        <f t="shared" si="13"/>
        <v>1.325298709904537E-3</v>
      </c>
      <c r="K87" s="3"/>
      <c r="L87" s="8">
        <f t="shared" si="14"/>
        <v>50.5</v>
      </c>
      <c r="M87" s="3"/>
      <c r="N87" s="7">
        <f t="shared" si="15"/>
        <v>0.39453125</v>
      </c>
      <c r="O87" s="12"/>
      <c r="P87" s="8">
        <v>989.5</v>
      </c>
      <c r="Q87" s="3"/>
      <c r="R87" s="7">
        <f t="shared" si="16"/>
        <v>5.6508332166427229E-3</v>
      </c>
      <c r="S87" s="3"/>
      <c r="T87" s="8">
        <v>1024</v>
      </c>
      <c r="U87" s="3"/>
      <c r="V87" s="7">
        <f t="shared" si="17"/>
        <v>3.5856727163221642E-3</v>
      </c>
      <c r="W87" s="3"/>
      <c r="X87" s="8">
        <f t="shared" si="18"/>
        <v>-34.5</v>
      </c>
      <c r="Y87" s="3"/>
      <c r="Z87" s="7">
        <f t="shared" si="19"/>
        <v>-3.369140625E-2</v>
      </c>
    </row>
    <row r="88" spans="1:26" s="69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320</v>
      </c>
      <c r="E88" s="2"/>
      <c r="F88" s="6">
        <f t="shared" si="12"/>
        <v>3.4091165743151187E-3</v>
      </c>
      <c r="G88" s="2"/>
      <c r="H88" s="2">
        <f>SUM(OSRRefH22_16x_0)</f>
        <v>0</v>
      </c>
      <c r="I88" s="2"/>
      <c r="J88" s="6">
        <f t="shared" si="13"/>
        <v>0</v>
      </c>
      <c r="K88" s="2"/>
      <c r="L88" s="2">
        <f t="shared" si="14"/>
        <v>320</v>
      </c>
      <c r="M88" s="2"/>
      <c r="N88" s="6">
        <f t="shared" si="15"/>
        <v>0</v>
      </c>
      <c r="O88" s="14"/>
      <c r="P88" s="2">
        <f>SUM(OSRRefP22_16x_0)</f>
        <v>320</v>
      </c>
      <c r="Q88" s="2"/>
      <c r="R88" s="6">
        <f t="shared" si="16"/>
        <v>1.8274549058369593E-3</v>
      </c>
      <c r="S88" s="2"/>
      <c r="T88" s="2">
        <f>SUM(OSRRefT22_16x_0)</f>
        <v>150</v>
      </c>
      <c r="U88" s="2"/>
      <c r="V88" s="6">
        <f t="shared" si="17"/>
        <v>5.2524502680500454E-4</v>
      </c>
      <c r="W88" s="2"/>
      <c r="X88" s="2">
        <f t="shared" si="18"/>
        <v>170</v>
      </c>
      <c r="Y88" s="2"/>
      <c r="Z88" s="6">
        <f t="shared" si="19"/>
        <v>1.1333333333333333</v>
      </c>
    </row>
    <row r="89" spans="1:26" s="70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8">
        <v>320</v>
      </c>
      <c r="E89" s="3"/>
      <c r="F89" s="7">
        <f t="shared" si="12"/>
        <v>3.4091165743151187E-3</v>
      </c>
      <c r="G89" s="3"/>
      <c r="H89" s="8"/>
      <c r="I89" s="3"/>
      <c r="J89" s="7">
        <f t="shared" si="13"/>
        <v>0</v>
      </c>
      <c r="K89" s="3"/>
      <c r="L89" s="8">
        <f t="shared" si="14"/>
        <v>320</v>
      </c>
      <c r="M89" s="3"/>
      <c r="N89" s="7">
        <f t="shared" si="15"/>
        <v>0</v>
      </c>
      <c r="O89" s="12"/>
      <c r="P89" s="8">
        <v>320</v>
      </c>
      <c r="Q89" s="3"/>
      <c r="R89" s="7">
        <f t="shared" si="16"/>
        <v>1.8274549058369593E-3</v>
      </c>
      <c r="S89" s="3"/>
      <c r="T89" s="8">
        <v>150</v>
      </c>
      <c r="U89" s="3"/>
      <c r="V89" s="7">
        <f t="shared" si="17"/>
        <v>5.2524502680500454E-4</v>
      </c>
      <c r="W89" s="3"/>
      <c r="X89" s="8">
        <f t="shared" si="18"/>
        <v>170</v>
      </c>
      <c r="Y89" s="3"/>
      <c r="Z89" s="7">
        <f t="shared" si="19"/>
        <v>1.1333333333333333</v>
      </c>
    </row>
    <row r="90" spans="1:26" s="69" customFormat="1" ht="15" customHeight="1" outlineLevel="1" collapsed="1" x14ac:dyDescent="0.3">
      <c r="A90" s="25"/>
      <c r="B90" s="14" t="str">
        <f>CONCATENATE("     ","Utilities                                         ")</f>
        <v xml:space="preserve">     Utilities                                         </v>
      </c>
      <c r="C90" s="14"/>
      <c r="D90" s="2">
        <f>SUM(OSRRefD22_17x_0)</f>
        <v>100</v>
      </c>
      <c r="E90" s="2"/>
      <c r="F90" s="6">
        <f t="shared" si="12"/>
        <v>1.0653489294734746E-3</v>
      </c>
      <c r="G90" s="2"/>
      <c r="H90" s="2">
        <f>SUM(OSRRefH22_17x_0)</f>
        <v>0</v>
      </c>
      <c r="I90" s="2"/>
      <c r="J90" s="6">
        <f t="shared" si="13"/>
        <v>0</v>
      </c>
      <c r="K90" s="2"/>
      <c r="L90" s="2">
        <f t="shared" si="14"/>
        <v>100</v>
      </c>
      <c r="M90" s="2"/>
      <c r="N90" s="6">
        <f t="shared" si="15"/>
        <v>0</v>
      </c>
      <c r="O90" s="14"/>
      <c r="P90" s="2">
        <f>SUM(OSRRefP22_17x_0)</f>
        <v>800</v>
      </c>
      <c r="Q90" s="2"/>
      <c r="R90" s="6">
        <f t="shared" si="16"/>
        <v>4.5686372645923987E-3</v>
      </c>
      <c r="S90" s="2"/>
      <c r="T90" s="2">
        <f>SUM(OSRRefT22_17x_0)</f>
        <v>0</v>
      </c>
      <c r="U90" s="2"/>
      <c r="V90" s="6">
        <f t="shared" si="17"/>
        <v>0</v>
      </c>
      <c r="W90" s="2"/>
      <c r="X90" s="2">
        <f t="shared" si="18"/>
        <v>800</v>
      </c>
      <c r="Y90" s="2"/>
      <c r="Z90" s="6">
        <f t="shared" si="19"/>
        <v>0</v>
      </c>
    </row>
    <row r="91" spans="1:26" s="70" customFormat="1" ht="15" hidden="1" customHeight="1" outlineLevel="2" x14ac:dyDescent="0.3">
      <c r="A91" s="26"/>
      <c r="B91" s="12" t="str">
        <f>CONCATENATE("          ","6274"," - ","UTILITIES")</f>
        <v xml:space="preserve">          6274 - UTILITIES</v>
      </c>
      <c r="C91" s="12"/>
      <c r="D91" s="8">
        <v>100</v>
      </c>
      <c r="E91" s="3"/>
      <c r="F91" s="7">
        <f t="shared" si="12"/>
        <v>1.0653489294734746E-3</v>
      </c>
      <c r="G91" s="3"/>
      <c r="H91" s="8">
        <v>0</v>
      </c>
      <c r="I91" s="3"/>
      <c r="J91" s="7">
        <f t="shared" si="13"/>
        <v>0</v>
      </c>
      <c r="K91" s="3"/>
      <c r="L91" s="8">
        <f t="shared" si="14"/>
        <v>100</v>
      </c>
      <c r="M91" s="3"/>
      <c r="N91" s="7">
        <f t="shared" si="15"/>
        <v>0</v>
      </c>
      <c r="O91" s="12"/>
      <c r="P91" s="8">
        <v>800</v>
      </c>
      <c r="Q91" s="3"/>
      <c r="R91" s="7">
        <f t="shared" si="16"/>
        <v>4.5686372645923987E-3</v>
      </c>
      <c r="S91" s="3"/>
      <c r="T91" s="8">
        <v>0</v>
      </c>
      <c r="U91" s="3"/>
      <c r="V91" s="7">
        <f t="shared" si="17"/>
        <v>0</v>
      </c>
      <c r="W91" s="3"/>
      <c r="X91" s="8">
        <f t="shared" si="18"/>
        <v>800</v>
      </c>
      <c r="Y91" s="3"/>
      <c r="Z91" s="7">
        <f t="shared" si="19"/>
        <v>0</v>
      </c>
    </row>
    <row r="92" spans="1:26" s="65" customFormat="1" ht="15" customHeight="1" x14ac:dyDescent="0.3">
      <c r="A92" s="35"/>
      <c r="B92" s="35"/>
      <c r="C92" s="35"/>
      <c r="D92" s="2"/>
      <c r="E92" s="2"/>
      <c r="F92" s="6"/>
      <c r="G92" s="2"/>
      <c r="H92" s="2"/>
      <c r="I92" s="2"/>
      <c r="J92" s="6"/>
      <c r="K92" s="2"/>
      <c r="L92" s="2"/>
      <c r="M92" s="2"/>
      <c r="N92" s="6"/>
      <c r="O92" s="35"/>
      <c r="P92" s="2"/>
      <c r="Q92" s="2"/>
      <c r="R92" s="6"/>
      <c r="S92" s="2"/>
      <c r="T92" s="2"/>
      <c r="U92" s="2"/>
      <c r="V92" s="6"/>
      <c r="W92" s="2"/>
      <c r="X92" s="2"/>
      <c r="Y92" s="2"/>
      <c r="Z92" s="6"/>
    </row>
    <row r="93" spans="1:26" s="63" customFormat="1" ht="15" customHeight="1" x14ac:dyDescent="0.3">
      <c r="A93" s="11"/>
      <c r="B93" s="27" t="s">
        <v>291</v>
      </c>
      <c r="C93" s="11"/>
      <c r="D93" s="5">
        <f>SUM(0)</f>
        <v>0</v>
      </c>
      <c r="E93" s="5"/>
      <c r="F93" s="13">
        <f>IF(D$12=0,0,D93/D$12)</f>
        <v>0</v>
      </c>
      <c r="G93" s="5"/>
      <c r="H93" s="5">
        <f>SUM(0)</f>
        <v>0</v>
      </c>
      <c r="I93" s="5"/>
      <c r="J93" s="13">
        <f>IF(H$12=0,0,H93/H$12)</f>
        <v>0</v>
      </c>
      <c r="K93" s="5"/>
      <c r="L93" s="5">
        <f>+D93-H93</f>
        <v>0</v>
      </c>
      <c r="M93" s="5"/>
      <c r="N93" s="13">
        <f>IF(H93=0,0,L93/H93)</f>
        <v>0</v>
      </c>
      <c r="O93" s="11"/>
      <c r="P93" s="5">
        <f>SUM(0)</f>
        <v>0</v>
      </c>
      <c r="Q93" s="5"/>
      <c r="R93" s="13">
        <f>IF(P$12=0,0,P93/P$12)</f>
        <v>0</v>
      </c>
      <c r="S93" s="5"/>
      <c r="T93" s="5">
        <f>SUM(0)</f>
        <v>0</v>
      </c>
      <c r="U93" s="5"/>
      <c r="V93" s="13">
        <f>IF(T$12=0,0,T93/T$12)</f>
        <v>0</v>
      </c>
      <c r="W93" s="5"/>
      <c r="X93" s="5">
        <f>+P93-T93</f>
        <v>0</v>
      </c>
      <c r="Y93" s="5"/>
      <c r="Z93" s="13">
        <f>IF(T93=0,0,X93/T93)</f>
        <v>0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11"/>
      <c r="B95" s="28" t="s">
        <v>292</v>
      </c>
      <c r="C95" s="28"/>
      <c r="D95" s="21">
        <f>+D25-D27+D93</f>
        <v>-5964.010000000002</v>
      </c>
      <c r="E95" s="15"/>
      <c r="F95" s="22">
        <f>IF(D$12=0,0,D95/D$12)</f>
        <v>-6.3537516688690995E-2</v>
      </c>
      <c r="G95" s="15"/>
      <c r="H95" s="21">
        <f>+H25-H27+H93</f>
        <v>3774.760032692313</v>
      </c>
      <c r="I95" s="15"/>
      <c r="J95" s="22">
        <f>IF(H$12=0,0,H95/H$12)</f>
        <v>3.9083473449424457E-2</v>
      </c>
      <c r="K95" s="16"/>
      <c r="L95" s="21">
        <f>+D95-H95</f>
        <v>-9738.770032692315</v>
      </c>
      <c r="M95" s="16"/>
      <c r="N95" s="22">
        <f>IF(H95=0,0,L95/H95)</f>
        <v>-2.5799706334567252</v>
      </c>
      <c r="O95" s="27"/>
      <c r="P95" s="21">
        <f>+P25-P27+P93</f>
        <v>-126609.13000000002</v>
      </c>
      <c r="Q95" s="15"/>
      <c r="R95" s="22">
        <f>IF(P$12=0,0,P95/P$12)</f>
        <v>-0.72303898669452937</v>
      </c>
      <c r="S95" s="15"/>
      <c r="T95" s="21">
        <f>+T25-T27+T93</f>
        <v>-142247.71106694231</v>
      </c>
      <c r="U95" s="15"/>
      <c r="V95" s="22">
        <f>IF(T$12=0,0,T95/T$12)</f>
        <v>-0.49809935208204437</v>
      </c>
      <c r="W95" s="16"/>
      <c r="X95" s="21">
        <f>+P95-T95</f>
        <v>15638.581066942294</v>
      </c>
      <c r="Y95" s="16"/>
      <c r="Z95" s="22">
        <f>IF(T95=0,0,X95/T95)</f>
        <v>-0.10993907001837602</v>
      </c>
    </row>
    <row r="96" spans="1:26" ht="15" customHeight="1" x14ac:dyDescent="0.3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49"/>
      <c r="B97" s="11" t="s">
        <v>293</v>
      </c>
      <c r="C97" s="11"/>
      <c r="D97" s="5">
        <v>11103.67</v>
      </c>
      <c r="E97" s="5"/>
      <c r="F97" s="13">
        <f>IF(D$12=0,0,D97/D$12)</f>
        <v>0.11829282947726737</v>
      </c>
      <c r="G97" s="5"/>
      <c r="H97" s="5">
        <v>11231</v>
      </c>
      <c r="I97" s="5"/>
      <c r="J97" s="13">
        <f>IF(H$12=0,0,H97/H$12)</f>
        <v>0.116284607897952</v>
      </c>
      <c r="K97" s="5"/>
      <c r="L97" s="5">
        <f>+D97-H97</f>
        <v>-127.32999999999993</v>
      </c>
      <c r="M97" s="5"/>
      <c r="N97" s="13">
        <f>IF(H97=0,0,L97/H97)</f>
        <v>-1.1337369780073006E-2</v>
      </c>
      <c r="O97" s="11"/>
      <c r="P97" s="5">
        <v>21857.33</v>
      </c>
      <c r="Q97" s="5"/>
      <c r="R97" s="13">
        <f>IF(P$12=0,0,P97/P$12)</f>
        <v>0.12482276542811672</v>
      </c>
      <c r="S97" s="5"/>
      <c r="T97" s="5">
        <v>34911</v>
      </c>
      <c r="U97" s="5"/>
      <c r="V97" s="13">
        <f>IF(T$12=0,0,T97/T$12)</f>
        <v>0.12224552753859676</v>
      </c>
      <c r="W97" s="5"/>
      <c r="X97" s="5">
        <f>+P97-T97</f>
        <v>-13053.669999999998</v>
      </c>
      <c r="Y97" s="5"/>
      <c r="Z97" s="13">
        <f>IF(T97=0,0,X97/T97)</f>
        <v>-0.37391280685170858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11"/>
      <c r="B99" s="28" t="s">
        <v>294</v>
      </c>
      <c r="C99" s="28"/>
      <c r="D99" s="33">
        <f>+D95-D97</f>
        <v>-17067.68</v>
      </c>
      <c r="E99" s="15"/>
      <c r="F99" s="32">
        <f>IF(D$12=0,0,D99/D$12)</f>
        <v>-0.18183034616595833</v>
      </c>
      <c r="G99" s="15"/>
      <c r="H99" s="33">
        <f>+H95-H97</f>
        <v>-7456.239967307687</v>
      </c>
      <c r="I99" s="15"/>
      <c r="J99" s="32">
        <f>IF(H$12=0,0,H99/H$12)</f>
        <v>-7.7201134448527539E-2</v>
      </c>
      <c r="K99" s="16"/>
      <c r="L99" s="33">
        <f>D99-H99</f>
        <v>-9611.4400326923133</v>
      </c>
      <c r="M99" s="16"/>
      <c r="N99" s="32">
        <f>IF(H99=0,0,L99/H99)</f>
        <v>1.2890464999563085</v>
      </c>
      <c r="O99" s="27"/>
      <c r="P99" s="33">
        <f>+P95-P97</f>
        <v>-148466.46000000002</v>
      </c>
      <c r="Q99" s="15"/>
      <c r="R99" s="32">
        <f>IF(P$12=0,0,P99/P$12)</f>
        <v>-0.84786175212264603</v>
      </c>
      <c r="S99" s="15"/>
      <c r="T99" s="33">
        <f>+T95-T97</f>
        <v>-177158.71106694231</v>
      </c>
      <c r="U99" s="15"/>
      <c r="V99" s="32">
        <f>IF(T$12=0,0,T99/T$12)</f>
        <v>-0.62034487962064111</v>
      </c>
      <c r="W99" s="16"/>
      <c r="X99" s="33">
        <f>P99-T99</f>
        <v>28692.251066942292</v>
      </c>
      <c r="Y99" s="16"/>
      <c r="Z99" s="32">
        <f>IF(T99=0,0,X99/T99)</f>
        <v>-0.16195789015478024</v>
      </c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3" customFormat="1" ht="15" customHeight="1" x14ac:dyDescent="0.3">
      <c r="A102" s="11"/>
      <c r="B102" s="28" t="s">
        <v>297</v>
      </c>
      <c r="C102" s="28"/>
      <c r="D102" s="34">
        <f>SUM(D99:D101)</f>
        <v>-17067.68</v>
      </c>
      <c r="E102" s="15"/>
      <c r="F102" s="30">
        <f>IF(D$12=0,0,D102/D$12)</f>
        <v>-0.18183034616595833</v>
      </c>
      <c r="G102" s="15"/>
      <c r="H102" s="34">
        <f>SUM(H99:H101)</f>
        <v>-7456.239967307687</v>
      </c>
      <c r="I102" s="15"/>
      <c r="J102" s="30">
        <f>IF(H$12=0,0,H102/H$12)</f>
        <v>-7.7201134448527539E-2</v>
      </c>
      <c r="K102" s="16"/>
      <c r="L102" s="34">
        <f>+D102-H102</f>
        <v>-9611.4400326923133</v>
      </c>
      <c r="M102" s="16"/>
      <c r="N102" s="30">
        <f>IF(H102=0,0,L102/H102)</f>
        <v>1.2890464999563085</v>
      </c>
      <c r="O102" s="27"/>
      <c r="P102" s="34">
        <f>SUM(P99:P101)</f>
        <v>-148466.46000000002</v>
      </c>
      <c r="Q102" s="15"/>
      <c r="R102" s="30">
        <f>IF(P$12=0,0,P102/P$12)</f>
        <v>-0.84786175212264603</v>
      </c>
      <c r="S102" s="15"/>
      <c r="T102" s="34">
        <f>SUM(T99:T101)</f>
        <v>-177158.71106694231</v>
      </c>
      <c r="U102" s="15"/>
      <c r="V102" s="30">
        <f>IF(T$12=0,0,T102/T$12)</f>
        <v>-0.62034487962064111</v>
      </c>
      <c r="W102" s="16"/>
      <c r="X102" s="34">
        <f>+P102-T102</f>
        <v>28692.251066942292</v>
      </c>
      <c r="Y102" s="16"/>
      <c r="Z102" s="30">
        <f>IF(T102=0,0,X102/T102)</f>
        <v>-0.16195789015478024</v>
      </c>
    </row>
    <row r="103" spans="1:26" ht="15" customHeight="1" x14ac:dyDescent="0.3">
      <c r="A103" s="10"/>
      <c r="C103" s="10"/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0"/>
      <c r="B104" s="57">
        <v>44634.88337758102</v>
      </c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A105" s="10"/>
      <c r="B105" s="56" t="s">
        <v>298</v>
      </c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0"/>
      <c r="B106" s="54"/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2C45-406D-5162-282D-ABBDB62D74DD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","309"," - ","Carts")</f>
        <v>Department 309 - Carts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22053.61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22053.61</v>
      </c>
      <c r="M12" s="5"/>
      <c r="N12" s="13">
        <f>IF(H12=0,0,L12/H12)</f>
        <v>0</v>
      </c>
      <c r="O12" s="11"/>
      <c r="P12" s="5">
        <f>SUM(OSRRefP13x_0)</f>
        <v>22053.61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22053.61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--3720.1</f>
        <v>3720.1</v>
      </c>
      <c r="E13" s="3"/>
      <c r="F13" s="20"/>
      <c r="G13" s="3"/>
      <c r="H13" s="3"/>
      <c r="I13" s="3"/>
      <c r="J13" s="20"/>
      <c r="K13" s="3"/>
      <c r="L13" s="3">
        <f>+D13-H13</f>
        <v>3720.1</v>
      </c>
      <c r="M13" s="3"/>
      <c r="N13" s="20">
        <f>IF(H13=0,0,L13/H13)</f>
        <v>0</v>
      </c>
      <c r="O13" s="12"/>
      <c r="P13" s="3">
        <f>--3720.1</f>
        <v>3720.1</v>
      </c>
      <c r="Q13" s="3"/>
      <c r="R13" s="20"/>
      <c r="S13" s="3"/>
      <c r="T13" s="3"/>
      <c r="U13" s="3"/>
      <c r="V13" s="20"/>
      <c r="W13" s="3"/>
      <c r="X13" s="3">
        <f>+P13-T13</f>
        <v>3720.1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--25.17</f>
        <v>25.17</v>
      </c>
      <c r="E14" s="3"/>
      <c r="F14" s="20"/>
      <c r="G14" s="3"/>
      <c r="H14" s="3"/>
      <c r="I14" s="3"/>
      <c r="J14" s="20"/>
      <c r="K14" s="3"/>
      <c r="L14" s="3">
        <f>+D14-H14</f>
        <v>25.17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--18102.02</f>
        <v>18102.02</v>
      </c>
      <c r="E15" s="3"/>
      <c r="F15" s="20"/>
      <c r="G15" s="3"/>
      <c r="H15" s="3"/>
      <c r="I15" s="3"/>
      <c r="J15" s="20"/>
      <c r="K15" s="3"/>
      <c r="L15" s="3">
        <f>+D15-H15</f>
        <v>18102.02</v>
      </c>
      <c r="M15" s="3"/>
      <c r="N15" s="20">
        <f>IF(H15=0,0,L15/H15)</f>
        <v>0</v>
      </c>
      <c r="O15" s="12"/>
      <c r="P15" s="3">
        <f>--18102.02</f>
        <v>18102.02</v>
      </c>
      <c r="Q15" s="3"/>
      <c r="R15" s="20"/>
      <c r="S15" s="3"/>
      <c r="T15" s="3"/>
      <c r="U15" s="3"/>
      <c r="V15" s="20"/>
      <c r="W15" s="3"/>
      <c r="X15" s="3">
        <f>+P15-T15</f>
        <v>18102.02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--206.32</f>
        <v>206.32</v>
      </c>
      <c r="E16" s="3"/>
      <c r="F16" s="20"/>
      <c r="G16" s="3"/>
      <c r="H16" s="3"/>
      <c r="I16" s="3"/>
      <c r="J16" s="20"/>
      <c r="K16" s="3"/>
      <c r="L16" s="3">
        <f>+D16-H16</f>
        <v>206.32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/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10435.700000000001</v>
      </c>
      <c r="E18" s="5"/>
      <c r="F18" s="13">
        <f>IF(D$12=0,0,D18/D$12)</f>
        <v>0.47319690517788249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10435.700000000001</v>
      </c>
      <c r="M18" s="5"/>
      <c r="N18" s="13">
        <f>IF(H18=0,0,L18/H18)</f>
        <v>0</v>
      </c>
      <c r="O18" s="11"/>
      <c r="P18" s="5">
        <f>SUM(OSRRefP16x_0)</f>
        <v>14040.11</v>
      </c>
      <c r="Q18" s="5"/>
      <c r="R18" s="13">
        <f>IF(P$12=0,0,P18/P$12)</f>
        <v>0.636635453333944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14040.11</v>
      </c>
      <c r="Y18" s="5"/>
      <c r="Z18" s="13">
        <f>IF(T18=0,0,X18/T18)</f>
        <v>0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0</v>
      </c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10435.700000000001</v>
      </c>
      <c r="E20" s="3"/>
      <c r="F20" s="20">
        <f>IF(D$12=0,0,D20/D$12)</f>
        <v>0.47319690517788249</v>
      </c>
      <c r="G20" s="3"/>
      <c r="H20" s="3"/>
      <c r="I20" s="3"/>
      <c r="J20" s="20">
        <f>IF(H$12=0,0,H20/H$12)</f>
        <v>0</v>
      </c>
      <c r="K20" s="3"/>
      <c r="L20" s="3">
        <f>+D20-H20</f>
        <v>10435.700000000001</v>
      </c>
      <c r="M20" s="3"/>
      <c r="N20" s="20">
        <f>IF(H20=0,0,L20/H20)</f>
        <v>0</v>
      </c>
      <c r="O20" s="12"/>
      <c r="P20" s="3">
        <v>14040.11</v>
      </c>
      <c r="Q20" s="3"/>
      <c r="R20" s="20">
        <f>IF(P$12=0,0,P20/P$12)</f>
        <v>0.636635453333944</v>
      </c>
      <c r="S20" s="3"/>
      <c r="T20" s="3"/>
      <c r="U20" s="3"/>
      <c r="V20" s="20">
        <f>IF(T$12=0,0,T20/T$12)</f>
        <v>0</v>
      </c>
      <c r="W20" s="3"/>
      <c r="X20" s="3">
        <f>+P20-T20</f>
        <v>14040.11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8" t="s">
        <v>289</v>
      </c>
      <c r="C22" s="28"/>
      <c r="D22" s="21">
        <f>D12-D18</f>
        <v>11617.91</v>
      </c>
      <c r="E22" s="15"/>
      <c r="F22" s="22">
        <f>IF(D$12=0,0,D22/D$12)</f>
        <v>0.52680309482211751</v>
      </c>
      <c r="G22" s="15"/>
      <c r="H22" s="21">
        <f>H12-H18</f>
        <v>0</v>
      </c>
      <c r="I22" s="15"/>
      <c r="J22" s="22">
        <f>IF(H$12=0,0,H22/H$12)</f>
        <v>0</v>
      </c>
      <c r="K22" s="16"/>
      <c r="L22" s="21">
        <f>+D22-H22</f>
        <v>11617.91</v>
      </c>
      <c r="M22" s="16"/>
      <c r="N22" s="22">
        <f>IF(H22=0,0,L22/H22)</f>
        <v>0</v>
      </c>
      <c r="O22" s="27"/>
      <c r="P22" s="21">
        <f>P12-P18</f>
        <v>8013.5</v>
      </c>
      <c r="Q22" s="15"/>
      <c r="R22" s="22">
        <f>IF(P$12=0,0,P22/P$12)</f>
        <v>0.363364546666056</v>
      </c>
      <c r="S22" s="15"/>
      <c r="T22" s="21">
        <f>T12-T18</f>
        <v>0</v>
      </c>
      <c r="U22" s="15"/>
      <c r="V22" s="22">
        <f>IF(T$12=0,0,T22/T$12)</f>
        <v>0</v>
      </c>
      <c r="W22" s="16"/>
      <c r="X22" s="21">
        <f>+P22-T22</f>
        <v>8013.5</v>
      </c>
      <c r="Y22" s="16"/>
      <c r="Z22" s="22">
        <f>IF(T22=0,0,X22/T22)</f>
        <v>0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7" t="s">
        <v>290</v>
      </c>
      <c r="C24" s="11"/>
      <c r="D24" s="23" cm="1">
        <f t="array" ref="D24">SUM(OSRRefD22x_0)</f>
        <v>7102.7</v>
      </c>
      <c r="E24" s="23"/>
      <c r="F24" s="29">
        <f t="shared" ref="F24:F55" si="0">IF(D$12=0,0,D24/D$12)</f>
        <v>0.32206518569975617</v>
      </c>
      <c r="G24" s="23"/>
      <c r="H24" s="23" cm="1">
        <f t="array" ref="H24">SUM(OSRRefH22x_0)</f>
        <v>588</v>
      </c>
      <c r="I24" s="23"/>
      <c r="J24" s="29">
        <f t="shared" ref="J24:J55" si="1">IF(H$12=0,0,H24/H$12)</f>
        <v>0</v>
      </c>
      <c r="K24" s="5"/>
      <c r="L24" s="23">
        <f t="shared" ref="L24:L55" si="2">+D24-H24</f>
        <v>6514.7</v>
      </c>
      <c r="M24" s="5"/>
      <c r="N24" s="29">
        <f t="shared" ref="N24:N55" si="3">IF(H24=0,0,L24/H24)</f>
        <v>11.079421768707483</v>
      </c>
      <c r="O24" s="11"/>
      <c r="P24" s="23" cm="1">
        <f t="array" ref="P24">SUM(OSRRefP22x_0)</f>
        <v>13594.319999999998</v>
      </c>
      <c r="Q24" s="23"/>
      <c r="R24" s="29">
        <f t="shared" ref="R24:R55" si="4">IF(P$12=0,0,P24/P$12)</f>
        <v>0.61642152917368165</v>
      </c>
      <c r="S24" s="23"/>
      <c r="T24" s="23" cm="1">
        <f t="array" ref="T24">SUM(OSRRefT22x_0)</f>
        <v>4704</v>
      </c>
      <c r="U24" s="23"/>
      <c r="V24" s="29">
        <f t="shared" ref="V24:V55" si="5">IF(T$12=0,0,T24/T$12)</f>
        <v>0</v>
      </c>
      <c r="W24" s="5"/>
      <c r="X24" s="23">
        <f t="shared" ref="X24:X55" si="6">+P24-T24</f>
        <v>8890.3199999999979</v>
      </c>
      <c r="Y24" s="5"/>
      <c r="Z24" s="29">
        <f t="shared" ref="Z24:Z55" si="7">IF(T24=0,0,X24/T24)</f>
        <v>1.8899489795918363</v>
      </c>
    </row>
    <row r="25" spans="1:26" s="69" customFormat="1" ht="15" customHeight="1" outlineLevel="1" collapsed="1" x14ac:dyDescent="0.3">
      <c r="A25" s="25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34.79</v>
      </c>
      <c r="E25" s="2"/>
      <c r="F25" s="6">
        <f t="shared" si="0"/>
        <v>1.5775195081440181E-3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34.79</v>
      </c>
      <c r="M25" s="2"/>
      <c r="N25" s="6">
        <f t="shared" si="3"/>
        <v>0</v>
      </c>
      <c r="O25" s="14"/>
      <c r="P25" s="2">
        <f>SUM(OSRRefP22_0x_0)</f>
        <v>34.79</v>
      </c>
      <c r="Q25" s="2"/>
      <c r="R25" s="6">
        <f t="shared" si="4"/>
        <v>1.5775195081440181E-3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34.79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29.59</v>
      </c>
      <c r="E26" s="3"/>
      <c r="F26" s="7">
        <f t="shared" si="0"/>
        <v>1.341730446852012E-3</v>
      </c>
      <c r="G26" s="3"/>
      <c r="H26" s="8"/>
      <c r="I26" s="3"/>
      <c r="J26" s="7">
        <f t="shared" si="1"/>
        <v>0</v>
      </c>
      <c r="K26" s="3"/>
      <c r="L26" s="8">
        <f t="shared" si="2"/>
        <v>29.59</v>
      </c>
      <c r="M26" s="3"/>
      <c r="N26" s="7">
        <f t="shared" si="3"/>
        <v>0</v>
      </c>
      <c r="O26" s="12"/>
      <c r="P26" s="8">
        <v>29.59</v>
      </c>
      <c r="Q26" s="3"/>
      <c r="R26" s="7">
        <f t="shared" si="4"/>
        <v>1.341730446852012E-3</v>
      </c>
      <c r="S26" s="3"/>
      <c r="T26" s="8"/>
      <c r="U26" s="3"/>
      <c r="V26" s="7">
        <f t="shared" si="5"/>
        <v>0</v>
      </c>
      <c r="W26" s="3"/>
      <c r="X26" s="8">
        <f t="shared" si="6"/>
        <v>29.59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5.2</v>
      </c>
      <c r="E27" s="3"/>
      <c r="F27" s="7">
        <f t="shared" si="0"/>
        <v>2.3578906129200617E-4</v>
      </c>
      <c r="G27" s="3"/>
      <c r="H27" s="8"/>
      <c r="I27" s="3"/>
      <c r="J27" s="7">
        <f t="shared" si="1"/>
        <v>0</v>
      </c>
      <c r="K27" s="3"/>
      <c r="L27" s="8">
        <f t="shared" si="2"/>
        <v>5.2</v>
      </c>
      <c r="M27" s="3"/>
      <c r="N27" s="7">
        <f t="shared" si="3"/>
        <v>0</v>
      </c>
      <c r="O27" s="12"/>
      <c r="P27" s="8">
        <v>5.2</v>
      </c>
      <c r="Q27" s="3"/>
      <c r="R27" s="7">
        <f t="shared" si="4"/>
        <v>2.3578906129200617E-4</v>
      </c>
      <c r="S27" s="3"/>
      <c r="T27" s="8"/>
      <c r="U27" s="3"/>
      <c r="V27" s="7">
        <f t="shared" si="5"/>
        <v>0</v>
      </c>
      <c r="W27" s="3"/>
      <c r="X27" s="8">
        <f t="shared" si="6"/>
        <v>5.2</v>
      </c>
      <c r="Y27" s="3"/>
      <c r="Z27" s="7">
        <f t="shared" si="7"/>
        <v>0</v>
      </c>
    </row>
    <row r="28" spans="1:26" s="69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3138.25</v>
      </c>
      <c r="E28" s="2"/>
      <c r="F28" s="6">
        <f t="shared" si="0"/>
        <v>0.14230096569223813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3138.25</v>
      </c>
      <c r="M28" s="2"/>
      <c r="N28" s="6">
        <f t="shared" si="3"/>
        <v>0</v>
      </c>
      <c r="O28" s="14"/>
      <c r="P28" s="2">
        <f>SUM(OSRRefP22_1x_0)</f>
        <v>3161.25</v>
      </c>
      <c r="Q28" s="2"/>
      <c r="R28" s="6">
        <f t="shared" si="4"/>
        <v>0.14334387884795277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3161.25</v>
      </c>
      <c r="Y28" s="2"/>
      <c r="Z28" s="6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","6007"," - ","STUDENT HOURLY")</f>
        <v xml:space="preserve">          6007 - STUDENT HOURLY</v>
      </c>
      <c r="C29" s="12"/>
      <c r="D29" s="8">
        <v>2414.6999999999998</v>
      </c>
      <c r="E29" s="3"/>
      <c r="F29" s="7">
        <f t="shared" si="0"/>
        <v>0.10949227813496293</v>
      </c>
      <c r="G29" s="3"/>
      <c r="H29" s="8"/>
      <c r="I29" s="3"/>
      <c r="J29" s="7">
        <f t="shared" si="1"/>
        <v>0</v>
      </c>
      <c r="K29" s="3"/>
      <c r="L29" s="8">
        <f t="shared" si="2"/>
        <v>2414.6999999999998</v>
      </c>
      <c r="M29" s="3"/>
      <c r="N29" s="7">
        <f t="shared" si="3"/>
        <v>0</v>
      </c>
      <c r="O29" s="12"/>
      <c r="P29" s="8">
        <v>2437.6999999999998</v>
      </c>
      <c r="Q29" s="3"/>
      <c r="R29" s="7">
        <f t="shared" si="4"/>
        <v>0.11053519129067757</v>
      </c>
      <c r="S29" s="3"/>
      <c r="T29" s="8"/>
      <c r="U29" s="3"/>
      <c r="V29" s="7">
        <f t="shared" si="5"/>
        <v>0</v>
      </c>
      <c r="W29" s="3"/>
      <c r="X29" s="8">
        <f t="shared" si="6"/>
        <v>2437.6999999999998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","6008"," - ","STUDENT HOURLY-FICA EXEMPT")</f>
        <v xml:space="preserve">          6008 - STUDENT HOURLY-FICA EXEMPT</v>
      </c>
      <c r="C30" s="12"/>
      <c r="D30" s="8">
        <v>723.55</v>
      </c>
      <c r="E30" s="3"/>
      <c r="F30" s="7">
        <f t="shared" si="0"/>
        <v>3.2808687557275201E-2</v>
      </c>
      <c r="G30" s="3"/>
      <c r="H30" s="8"/>
      <c r="I30" s="3"/>
      <c r="J30" s="7">
        <f t="shared" si="1"/>
        <v>0</v>
      </c>
      <c r="K30" s="3"/>
      <c r="L30" s="8">
        <f t="shared" si="2"/>
        <v>723.55</v>
      </c>
      <c r="M30" s="3"/>
      <c r="N30" s="7">
        <f t="shared" si="3"/>
        <v>0</v>
      </c>
      <c r="O30" s="12"/>
      <c r="P30" s="8">
        <v>723.55</v>
      </c>
      <c r="Q30" s="3"/>
      <c r="R30" s="7">
        <f t="shared" si="4"/>
        <v>3.2808687557275201E-2</v>
      </c>
      <c r="S30" s="3"/>
      <c r="T30" s="8"/>
      <c r="U30" s="3"/>
      <c r="V30" s="7">
        <f t="shared" si="5"/>
        <v>0</v>
      </c>
      <c r="W30" s="3"/>
      <c r="X30" s="8">
        <f t="shared" si="6"/>
        <v>723.55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39.69</v>
      </c>
      <c r="E31" s="2"/>
      <c r="F31" s="6">
        <f t="shared" si="0"/>
        <v>1.7997053543614854E-3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39.69</v>
      </c>
      <c r="M31" s="2"/>
      <c r="N31" s="6">
        <f t="shared" si="3"/>
        <v>0</v>
      </c>
      <c r="O31" s="14"/>
      <c r="P31" s="2">
        <f>SUM(OSRRefP22_2x_0)</f>
        <v>39.69</v>
      </c>
      <c r="Q31" s="2"/>
      <c r="R31" s="6">
        <f t="shared" si="4"/>
        <v>1.7997053543614854E-3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39.69</v>
      </c>
      <c r="Y31" s="2"/>
      <c r="Z31" s="6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","6362"," - ","ADVERTISING EXPENSE")</f>
        <v xml:space="preserve">          6362 - ADVERTISING EXPENSE</v>
      </c>
      <c r="C32" s="12"/>
      <c r="D32" s="8">
        <v>39.69</v>
      </c>
      <c r="E32" s="3"/>
      <c r="F32" s="7">
        <f t="shared" si="0"/>
        <v>1.7997053543614854E-3</v>
      </c>
      <c r="G32" s="3"/>
      <c r="H32" s="8"/>
      <c r="I32" s="3"/>
      <c r="J32" s="7">
        <f t="shared" si="1"/>
        <v>0</v>
      </c>
      <c r="K32" s="3"/>
      <c r="L32" s="8">
        <f t="shared" si="2"/>
        <v>39.69</v>
      </c>
      <c r="M32" s="3"/>
      <c r="N32" s="7">
        <f t="shared" si="3"/>
        <v>0</v>
      </c>
      <c r="O32" s="12"/>
      <c r="P32" s="8">
        <v>39.69</v>
      </c>
      <c r="Q32" s="3"/>
      <c r="R32" s="7">
        <f t="shared" si="4"/>
        <v>1.7997053543614854E-3</v>
      </c>
      <c r="S32" s="3"/>
      <c r="T32" s="8"/>
      <c r="U32" s="3"/>
      <c r="V32" s="7">
        <f t="shared" si="5"/>
        <v>0</v>
      </c>
      <c r="W32" s="3"/>
      <c r="X32" s="8">
        <f t="shared" si="6"/>
        <v>39.69</v>
      </c>
      <c r="Y32" s="3"/>
      <c r="Z32" s="7">
        <f t="shared" si="7"/>
        <v>0</v>
      </c>
    </row>
    <row r="33" spans="1:26" s="69" customFormat="1" ht="15" customHeight="1" outlineLevel="1" collapsed="1" x14ac:dyDescent="0.3">
      <c r="A33" s="25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-5.1100000000000003</v>
      </c>
      <c r="E33" s="2"/>
      <c r="F33" s="6">
        <f t="shared" si="0"/>
        <v>-2.3170809676964453E-4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-5.1100000000000003</v>
      </c>
      <c r="M33" s="2"/>
      <c r="N33" s="6">
        <f t="shared" si="3"/>
        <v>0</v>
      </c>
      <c r="O33" s="14"/>
      <c r="P33" s="2">
        <f>SUM(OSRRefP22_3x_0)</f>
        <v>-5.1100000000000003</v>
      </c>
      <c r="Q33" s="2"/>
      <c r="R33" s="6">
        <f t="shared" si="4"/>
        <v>-2.3170809676964453E-4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-5.1100000000000003</v>
      </c>
      <c r="Y33" s="2"/>
      <c r="Z33" s="6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","6272"," - ","CASH (OVER/SHORT)")</f>
        <v xml:space="preserve">          6272 - CASH (OVER/SHORT)</v>
      </c>
      <c r="C34" s="12"/>
      <c r="D34" s="8">
        <v>-5.1100000000000003</v>
      </c>
      <c r="E34" s="3"/>
      <c r="F34" s="7">
        <f t="shared" si="0"/>
        <v>-2.3170809676964453E-4</v>
      </c>
      <c r="G34" s="3"/>
      <c r="H34" s="8"/>
      <c r="I34" s="3"/>
      <c r="J34" s="7">
        <f t="shared" si="1"/>
        <v>0</v>
      </c>
      <c r="K34" s="3"/>
      <c r="L34" s="8">
        <f t="shared" si="2"/>
        <v>-5.1100000000000003</v>
      </c>
      <c r="M34" s="3"/>
      <c r="N34" s="7">
        <f t="shared" si="3"/>
        <v>0</v>
      </c>
      <c r="O34" s="12"/>
      <c r="P34" s="8">
        <v>-5.1100000000000003</v>
      </c>
      <c r="Q34" s="3"/>
      <c r="R34" s="7">
        <f t="shared" si="4"/>
        <v>-2.3170809676964453E-4</v>
      </c>
      <c r="S34" s="3"/>
      <c r="T34" s="8"/>
      <c r="U34" s="3"/>
      <c r="V34" s="7">
        <f t="shared" si="5"/>
        <v>0</v>
      </c>
      <c r="W34" s="3"/>
      <c r="X34" s="8">
        <f t="shared" si="6"/>
        <v>-5.1100000000000003</v>
      </c>
      <c r="Y34" s="3"/>
      <c r="Z34" s="7">
        <f t="shared" si="7"/>
        <v>0</v>
      </c>
    </row>
    <row r="35" spans="1:26" s="69" customFormat="1" ht="15" customHeight="1" outlineLevel="1" collapsed="1" x14ac:dyDescent="0.3">
      <c r="A35" s="25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1154.5999999999999</v>
      </c>
      <c r="E35" s="2"/>
      <c r="F35" s="6">
        <f t="shared" si="0"/>
        <v>5.2354240416875052E-2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1154.5999999999999</v>
      </c>
      <c r="M35" s="2"/>
      <c r="N35" s="6">
        <f t="shared" si="3"/>
        <v>0</v>
      </c>
      <c r="O35" s="14"/>
      <c r="P35" s="2">
        <f>SUM(OSRRefP22_4x_0)</f>
        <v>1154.8</v>
      </c>
      <c r="Q35" s="2"/>
      <c r="R35" s="6">
        <f t="shared" si="4"/>
        <v>5.2363309226924747E-2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1154.8</v>
      </c>
      <c r="Y35" s="2"/>
      <c r="Z35" s="6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","6381"," - ","BANK/CREDIT CARD FEES")</f>
        <v xml:space="preserve">          6381 - BANK/CREDIT CARD FEES</v>
      </c>
      <c r="C36" s="12"/>
      <c r="D36" s="8">
        <v>1154.5999999999999</v>
      </c>
      <c r="E36" s="3"/>
      <c r="F36" s="7">
        <f t="shared" si="0"/>
        <v>5.2354240416875052E-2</v>
      </c>
      <c r="G36" s="3"/>
      <c r="H36" s="8"/>
      <c r="I36" s="3"/>
      <c r="J36" s="7">
        <f t="shared" si="1"/>
        <v>0</v>
      </c>
      <c r="K36" s="3"/>
      <c r="L36" s="8">
        <f t="shared" si="2"/>
        <v>1154.5999999999999</v>
      </c>
      <c r="M36" s="3"/>
      <c r="N36" s="7">
        <f t="shared" si="3"/>
        <v>0</v>
      </c>
      <c r="O36" s="12"/>
      <c r="P36" s="8">
        <v>1154.8</v>
      </c>
      <c r="Q36" s="3"/>
      <c r="R36" s="7">
        <f t="shared" si="4"/>
        <v>5.2363309226924747E-2</v>
      </c>
      <c r="S36" s="3"/>
      <c r="T36" s="8"/>
      <c r="U36" s="3"/>
      <c r="V36" s="7">
        <f t="shared" si="5"/>
        <v>0</v>
      </c>
      <c r="W36" s="3"/>
      <c r="X36" s="8">
        <f t="shared" si="6"/>
        <v>1154.8</v>
      </c>
      <c r="Y36" s="3"/>
      <c r="Z36" s="7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2.6704924953329639E-2</v>
      </c>
      <c r="G37" s="2"/>
      <c r="H37" s="2">
        <f>SUM(OSRRefH22_5x_0)</f>
        <v>588</v>
      </c>
      <c r="I37" s="2"/>
      <c r="J37" s="6">
        <f t="shared" si="1"/>
        <v>0</v>
      </c>
      <c r="K37" s="2"/>
      <c r="L37" s="2">
        <f t="shared" si="2"/>
        <v>0.94000000000005457</v>
      </c>
      <c r="M37" s="2"/>
      <c r="N37" s="6">
        <f t="shared" si="3"/>
        <v>1.5986394557824057E-3</v>
      </c>
      <c r="O37" s="14"/>
      <c r="P37" s="2">
        <f>SUM(OSRRefP22_5x_0)</f>
        <v>4711.5200000000004</v>
      </c>
      <c r="Q37" s="2"/>
      <c r="R37" s="6">
        <f t="shared" si="4"/>
        <v>0.21363939962663711</v>
      </c>
      <c r="S37" s="2"/>
      <c r="T37" s="2">
        <f>SUM(OSRRefT22_5x_0)</f>
        <v>4704</v>
      </c>
      <c r="U37" s="2"/>
      <c r="V37" s="6">
        <f t="shared" si="5"/>
        <v>0</v>
      </c>
      <c r="W37" s="2"/>
      <c r="X37" s="2">
        <f t="shared" si="6"/>
        <v>7.5200000000004366</v>
      </c>
      <c r="Y37" s="2"/>
      <c r="Z37" s="6">
        <f t="shared" si="7"/>
        <v>1.5986394557824057E-3</v>
      </c>
    </row>
    <row r="38" spans="1:26" s="70" customFormat="1" ht="15" hidden="1" customHeight="1" outlineLevel="2" x14ac:dyDescent="0.3">
      <c r="A38" s="26"/>
      <c r="B38" s="12" t="str">
        <f>CONCATENATE("          ","6322"," - ","EQUIPMENT DEPRECIATION EXPENSE")</f>
        <v xml:space="preserve">          6322 - EQUIPMENT DEPRECIATION EXPENSE</v>
      </c>
      <c r="C38" s="12"/>
      <c r="D38" s="8">
        <v>588.94000000000005</v>
      </c>
      <c r="E38" s="3"/>
      <c r="F38" s="7">
        <f t="shared" si="0"/>
        <v>2.6704924953329639E-2</v>
      </c>
      <c r="G38" s="3"/>
      <c r="H38" s="8">
        <v>588</v>
      </c>
      <c r="I38" s="3"/>
      <c r="J38" s="7">
        <f t="shared" si="1"/>
        <v>0</v>
      </c>
      <c r="K38" s="3"/>
      <c r="L38" s="8">
        <f t="shared" si="2"/>
        <v>0.94000000000005457</v>
      </c>
      <c r="M38" s="3"/>
      <c r="N38" s="7">
        <f t="shared" si="3"/>
        <v>1.5986394557824057E-3</v>
      </c>
      <c r="O38" s="12"/>
      <c r="P38" s="8">
        <v>4711.5200000000004</v>
      </c>
      <c r="Q38" s="3"/>
      <c r="R38" s="7">
        <f t="shared" si="4"/>
        <v>0.21363939962663711</v>
      </c>
      <c r="S38" s="3"/>
      <c r="T38" s="8">
        <v>4704</v>
      </c>
      <c r="U38" s="3"/>
      <c r="V38" s="7">
        <f t="shared" si="5"/>
        <v>0</v>
      </c>
      <c r="W38" s="3"/>
      <c r="X38" s="8">
        <f t="shared" si="6"/>
        <v>7.5200000000004366</v>
      </c>
      <c r="Y38" s="3"/>
      <c r="Z38" s="7">
        <f t="shared" si="7"/>
        <v>1.5986394557824057E-3</v>
      </c>
    </row>
    <row r="39" spans="1:26" s="69" customFormat="1" ht="15" customHeight="1" outlineLevel="1" collapsed="1" x14ac:dyDescent="0.3">
      <c r="A39" s="25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1.3603215074538817E-3</v>
      </c>
      <c r="S39" s="2"/>
      <c r="T39" s="2">
        <f>SUM(OSRRefT22_6x_0)</f>
        <v>0</v>
      </c>
      <c r="U39" s="2"/>
      <c r="V39" s="6">
        <f t="shared" si="5"/>
        <v>0</v>
      </c>
      <c r="W39" s="2"/>
      <c r="X39" s="2">
        <f t="shared" si="6"/>
        <v>30</v>
      </c>
      <c r="Y39" s="2"/>
      <c r="Z39" s="6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","6351"," - ","EQUIPMENT RENTAL")</f>
        <v xml:space="preserve">          6351 - EQUIPMENT RENTAL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30</v>
      </c>
      <c r="Q40" s="3"/>
      <c r="R40" s="7">
        <f t="shared" si="4"/>
        <v>1.3603215074538817E-3</v>
      </c>
      <c r="S40" s="3"/>
      <c r="T40" s="8"/>
      <c r="U40" s="3"/>
      <c r="V40" s="7">
        <f t="shared" si="5"/>
        <v>0</v>
      </c>
      <c r="W40" s="3"/>
      <c r="X40" s="8">
        <f t="shared" si="6"/>
        <v>30</v>
      </c>
      <c r="Y40" s="3"/>
      <c r="Z40" s="7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411.65</v>
      </c>
      <c r="E41" s="2"/>
      <c r="F41" s="6">
        <f t="shared" si="0"/>
        <v>1.8665878284779679E-2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411.65</v>
      </c>
      <c r="M41" s="2"/>
      <c r="N41" s="6">
        <f t="shared" si="3"/>
        <v>0</v>
      </c>
      <c r="O41" s="14"/>
      <c r="P41" s="2">
        <f>SUM(OSRRefP22_7x_0)</f>
        <v>846.65</v>
      </c>
      <c r="Q41" s="2"/>
      <c r="R41" s="6">
        <f t="shared" si="4"/>
        <v>3.839054014286096E-2</v>
      </c>
      <c r="S41" s="2"/>
      <c r="T41" s="2">
        <f>SUM(OSRRefT22_7x_0)</f>
        <v>0</v>
      </c>
      <c r="U41" s="2"/>
      <c r="V41" s="6">
        <f t="shared" si="5"/>
        <v>0</v>
      </c>
      <c r="W41" s="2"/>
      <c r="X41" s="2">
        <f t="shared" si="6"/>
        <v>846.65</v>
      </c>
      <c r="Y41" s="2"/>
      <c r="Z41" s="6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","6279"," - ","GENERAL EXPENSE")</f>
        <v xml:space="preserve">          6279 - GENERAL EXPENSE</v>
      </c>
      <c r="C42" s="12"/>
      <c r="D42" s="8">
        <v>411.65</v>
      </c>
      <c r="E42" s="3"/>
      <c r="F42" s="7">
        <f t="shared" si="0"/>
        <v>1.8665878284779679E-2</v>
      </c>
      <c r="G42" s="3"/>
      <c r="H42" s="8"/>
      <c r="I42" s="3"/>
      <c r="J42" s="7">
        <f t="shared" si="1"/>
        <v>0</v>
      </c>
      <c r="K42" s="3"/>
      <c r="L42" s="8">
        <f t="shared" si="2"/>
        <v>411.65</v>
      </c>
      <c r="M42" s="3"/>
      <c r="N42" s="7">
        <f t="shared" si="3"/>
        <v>0</v>
      </c>
      <c r="O42" s="12"/>
      <c r="P42" s="8">
        <v>846.65</v>
      </c>
      <c r="Q42" s="3"/>
      <c r="R42" s="7">
        <f t="shared" si="4"/>
        <v>3.839054014286096E-2</v>
      </c>
      <c r="S42" s="3"/>
      <c r="T42" s="8"/>
      <c r="U42" s="3"/>
      <c r="V42" s="7">
        <f t="shared" si="5"/>
        <v>0</v>
      </c>
      <c r="W42" s="3"/>
      <c r="X42" s="8">
        <f t="shared" si="6"/>
        <v>846.65</v>
      </c>
      <c r="Y42" s="3"/>
      <c r="Z42" s="7">
        <f t="shared" si="7"/>
        <v>0</v>
      </c>
    </row>
    <row r="43" spans="1:26" s="69" customFormat="1" ht="15" customHeight="1" outlineLevel="1" collapsed="1" x14ac:dyDescent="0.3">
      <c r="A43" s="25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1168.8399999999999</v>
      </c>
      <c r="E43" s="2"/>
      <c r="F43" s="6">
        <f t="shared" si="0"/>
        <v>5.2999939692413164E-2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1168.8399999999999</v>
      </c>
      <c r="M43" s="2"/>
      <c r="N43" s="6">
        <f t="shared" si="3"/>
        <v>0</v>
      </c>
      <c r="O43" s="14"/>
      <c r="P43" s="2">
        <f>SUM(OSRRefP22_8x_0)</f>
        <v>1591.62</v>
      </c>
      <c r="Q43" s="2"/>
      <c r="R43" s="6">
        <f t="shared" si="4"/>
        <v>7.217049725645823E-2</v>
      </c>
      <c r="S43" s="2"/>
      <c r="T43" s="2">
        <f>SUM(OSRRefT22_8x_0)</f>
        <v>0</v>
      </c>
      <c r="U43" s="2"/>
      <c r="V43" s="6">
        <f t="shared" si="5"/>
        <v>0</v>
      </c>
      <c r="W43" s="2"/>
      <c r="X43" s="2">
        <f t="shared" si="6"/>
        <v>1591.62</v>
      </c>
      <c r="Y43" s="2"/>
      <c r="Z43" s="6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","6373"," - ","MAINTENANCE CONTRACTS")</f>
        <v xml:space="preserve">          6373 - MAINTENANCE CONTRACTS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97.83</v>
      </c>
      <c r="Q44" s="3"/>
      <c r="R44" s="7">
        <f t="shared" si="4"/>
        <v>4.4360084358071082E-3</v>
      </c>
      <c r="S44" s="3"/>
      <c r="T44" s="8"/>
      <c r="U44" s="3"/>
      <c r="V44" s="7">
        <f t="shared" si="5"/>
        <v>0</v>
      </c>
      <c r="W44" s="3"/>
      <c r="X44" s="8">
        <f t="shared" si="6"/>
        <v>97.83</v>
      </c>
      <c r="Y44" s="3"/>
      <c r="Z44" s="7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","6375"," - ","OUTSIDE REPAIRS &amp; MAINTENANCE")</f>
        <v xml:space="preserve">          6375 - OUTSIDE REPAIRS &amp; MAINTENANCE</v>
      </c>
      <c r="C45" s="12"/>
      <c r="D45" s="8">
        <v>1168.8399999999999</v>
      </c>
      <c r="E45" s="3"/>
      <c r="F45" s="7">
        <f t="shared" si="0"/>
        <v>5.2999939692413164E-2</v>
      </c>
      <c r="G45" s="3"/>
      <c r="H45" s="8"/>
      <c r="I45" s="3"/>
      <c r="J45" s="7">
        <f t="shared" si="1"/>
        <v>0</v>
      </c>
      <c r="K45" s="3"/>
      <c r="L45" s="8">
        <f t="shared" si="2"/>
        <v>1168.8399999999999</v>
      </c>
      <c r="M45" s="3"/>
      <c r="N45" s="7">
        <f t="shared" si="3"/>
        <v>0</v>
      </c>
      <c r="O45" s="12"/>
      <c r="P45" s="8">
        <v>1493.79</v>
      </c>
      <c r="Q45" s="3"/>
      <c r="R45" s="7">
        <f t="shared" si="4"/>
        <v>6.7734488820651126E-2</v>
      </c>
      <c r="S45" s="3"/>
      <c r="T45" s="8"/>
      <c r="U45" s="3"/>
      <c r="V45" s="7">
        <f t="shared" si="5"/>
        <v>0</v>
      </c>
      <c r="W45" s="3"/>
      <c r="X45" s="8">
        <f t="shared" si="6"/>
        <v>1493.79</v>
      </c>
      <c r="Y45" s="3"/>
      <c r="Z45" s="7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274.77</v>
      </c>
      <c r="E46" s="2"/>
      <c r="F46" s="6">
        <f t="shared" si="0"/>
        <v>1.2459184686770101E-2</v>
      </c>
      <c r="G46" s="2"/>
      <c r="H46" s="2">
        <f>SUM(OSRRefH22_9x_0)</f>
        <v>0</v>
      </c>
      <c r="I46" s="2"/>
      <c r="J46" s="6">
        <f t="shared" si="1"/>
        <v>0</v>
      </c>
      <c r="K46" s="2"/>
      <c r="L46" s="2">
        <f t="shared" si="2"/>
        <v>274.77</v>
      </c>
      <c r="M46" s="2"/>
      <c r="N46" s="6">
        <f t="shared" si="3"/>
        <v>0</v>
      </c>
      <c r="O46" s="14"/>
      <c r="P46" s="2">
        <f>SUM(OSRRefP22_9x_0)</f>
        <v>1460.6399999999999</v>
      </c>
      <c r="Q46" s="2"/>
      <c r="R46" s="6">
        <f t="shared" si="4"/>
        <v>6.623133355491459E-2</v>
      </c>
      <c r="S46" s="2"/>
      <c r="T46" s="2">
        <f>SUM(OSRRefT22_9x_0)</f>
        <v>0</v>
      </c>
      <c r="U46" s="2"/>
      <c r="V46" s="6">
        <f t="shared" si="5"/>
        <v>0</v>
      </c>
      <c r="W46" s="2"/>
      <c r="X46" s="2">
        <f t="shared" si="6"/>
        <v>1460.6399999999999</v>
      </c>
      <c r="Y46" s="2"/>
      <c r="Z46" s="6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","6282"," - ","JANITORIAL/EXTERMINATOR EXPENS")</f>
        <v xml:space="preserve">          6282 - JANITORIAL/EXTERMINATOR EXPENS</v>
      </c>
      <c r="C47" s="12"/>
      <c r="D47" s="8">
        <v>151.85</v>
      </c>
      <c r="E47" s="3"/>
      <c r="F47" s="7">
        <f t="shared" si="0"/>
        <v>6.8854940302290639E-3</v>
      </c>
      <c r="G47" s="3"/>
      <c r="H47" s="8"/>
      <c r="I47" s="3"/>
      <c r="J47" s="7">
        <f t="shared" si="1"/>
        <v>0</v>
      </c>
      <c r="K47" s="3"/>
      <c r="L47" s="8">
        <f t="shared" si="2"/>
        <v>151.85</v>
      </c>
      <c r="M47" s="3"/>
      <c r="N47" s="7">
        <f t="shared" si="3"/>
        <v>0</v>
      </c>
      <c r="O47" s="12"/>
      <c r="P47" s="8">
        <v>1214.8</v>
      </c>
      <c r="Q47" s="3"/>
      <c r="R47" s="7">
        <f t="shared" si="4"/>
        <v>5.5083952241832511E-2</v>
      </c>
      <c r="S47" s="3"/>
      <c r="T47" s="8"/>
      <c r="U47" s="3"/>
      <c r="V47" s="7">
        <f t="shared" si="5"/>
        <v>0</v>
      </c>
      <c r="W47" s="3"/>
      <c r="X47" s="8">
        <f t="shared" si="6"/>
        <v>1214.8</v>
      </c>
      <c r="Y47" s="3"/>
      <c r="Z47" s="7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","6285"," - ","JANITORIAL SERVICES")</f>
        <v xml:space="preserve">          6285 - JANITORIAL SERVICES</v>
      </c>
      <c r="C48" s="12"/>
      <c r="D48" s="8">
        <v>122.92</v>
      </c>
      <c r="E48" s="3"/>
      <c r="F48" s="7">
        <f t="shared" si="0"/>
        <v>5.5736906565410377E-3</v>
      </c>
      <c r="G48" s="3"/>
      <c r="H48" s="8"/>
      <c r="I48" s="3"/>
      <c r="J48" s="7">
        <f t="shared" si="1"/>
        <v>0</v>
      </c>
      <c r="K48" s="3"/>
      <c r="L48" s="8">
        <f t="shared" si="2"/>
        <v>122.92</v>
      </c>
      <c r="M48" s="3"/>
      <c r="N48" s="7">
        <f t="shared" si="3"/>
        <v>0</v>
      </c>
      <c r="O48" s="12"/>
      <c r="P48" s="8">
        <v>245.84</v>
      </c>
      <c r="Q48" s="3"/>
      <c r="R48" s="7">
        <f t="shared" si="4"/>
        <v>1.1147381313082075E-2</v>
      </c>
      <c r="S48" s="3"/>
      <c r="T48" s="8"/>
      <c r="U48" s="3"/>
      <c r="V48" s="7">
        <f t="shared" si="5"/>
        <v>0</v>
      </c>
      <c r="W48" s="3"/>
      <c r="X48" s="8">
        <f t="shared" si="6"/>
        <v>245.84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146.28</v>
      </c>
      <c r="E49" s="2"/>
      <c r="F49" s="6">
        <f t="shared" si="0"/>
        <v>6.6329276703451269E-3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146.28</v>
      </c>
      <c r="M49" s="2"/>
      <c r="N49" s="6">
        <f t="shared" si="3"/>
        <v>0</v>
      </c>
      <c r="O49" s="14"/>
      <c r="P49" s="2">
        <f>SUM(OSRRefP22_10x_0)</f>
        <v>208.47</v>
      </c>
      <c r="Q49" s="2"/>
      <c r="R49" s="6">
        <f t="shared" si="4"/>
        <v>9.4528741552970235E-3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208.47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","6241"," - ","OFFICE EXPENSE")</f>
        <v xml:space="preserve">          6241 - OFFICE EXPENSE</v>
      </c>
      <c r="C50" s="12"/>
      <c r="D50" s="8">
        <v>8.82</v>
      </c>
      <c r="E50" s="3"/>
      <c r="F50" s="7">
        <f t="shared" si="0"/>
        <v>3.9993452319144124E-4</v>
      </c>
      <c r="G50" s="3"/>
      <c r="H50" s="8"/>
      <c r="I50" s="3"/>
      <c r="J50" s="7">
        <f t="shared" si="1"/>
        <v>0</v>
      </c>
      <c r="K50" s="3"/>
      <c r="L50" s="8">
        <f t="shared" si="2"/>
        <v>8.82</v>
      </c>
      <c r="M50" s="3"/>
      <c r="N50" s="7">
        <f t="shared" si="3"/>
        <v>0</v>
      </c>
      <c r="O50" s="12"/>
      <c r="P50" s="8">
        <v>11.01</v>
      </c>
      <c r="Q50" s="3"/>
      <c r="R50" s="7">
        <f t="shared" si="4"/>
        <v>4.9923799323557455E-4</v>
      </c>
      <c r="S50" s="3"/>
      <c r="T50" s="8"/>
      <c r="U50" s="3"/>
      <c r="V50" s="7">
        <f t="shared" si="5"/>
        <v>0</v>
      </c>
      <c r="W50" s="3"/>
      <c r="X50" s="8">
        <f t="shared" si="6"/>
        <v>11.01</v>
      </c>
      <c r="Y50" s="3"/>
      <c r="Z50" s="7">
        <f t="shared" si="7"/>
        <v>0</v>
      </c>
    </row>
    <row r="51" spans="1:26" s="70" customFormat="1" ht="15" hidden="1" customHeight="1" outlineLevel="2" x14ac:dyDescent="0.3">
      <c r="A51" s="26"/>
      <c r="B51" s="12" t="str">
        <f>CONCATENATE("          ","6247"," - ","STORE SUPPLIES")</f>
        <v xml:space="preserve">          6247 - STORE SUPPLIES</v>
      </c>
      <c r="C51" s="12"/>
      <c r="D51" s="8">
        <v>137.46</v>
      </c>
      <c r="E51" s="3"/>
      <c r="F51" s="7">
        <f t="shared" si="0"/>
        <v>6.232993147153686E-3</v>
      </c>
      <c r="G51" s="3"/>
      <c r="H51" s="8"/>
      <c r="I51" s="3"/>
      <c r="J51" s="7">
        <f t="shared" si="1"/>
        <v>0</v>
      </c>
      <c r="K51" s="3"/>
      <c r="L51" s="8">
        <f t="shared" si="2"/>
        <v>137.46</v>
      </c>
      <c r="M51" s="3"/>
      <c r="N51" s="7">
        <f t="shared" si="3"/>
        <v>0</v>
      </c>
      <c r="O51" s="12"/>
      <c r="P51" s="8">
        <v>197.46</v>
      </c>
      <c r="Q51" s="3"/>
      <c r="R51" s="7">
        <f t="shared" si="4"/>
        <v>8.9536361620614503E-3</v>
      </c>
      <c r="S51" s="3"/>
      <c r="T51" s="8"/>
      <c r="U51" s="3"/>
      <c r="V51" s="7">
        <f t="shared" si="5"/>
        <v>0</v>
      </c>
      <c r="W51" s="3"/>
      <c r="X51" s="8">
        <f t="shared" si="6"/>
        <v>197.46</v>
      </c>
      <c r="Y51" s="3"/>
      <c r="Z51" s="7">
        <f t="shared" si="7"/>
        <v>0</v>
      </c>
    </row>
    <row r="52" spans="1:26" s="69" customFormat="1" ht="15" customHeight="1" outlineLevel="1" collapsed="1" x14ac:dyDescent="0.3">
      <c r="A52" s="25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1.3603215074538817E-3</v>
      </c>
      <c r="G52" s="2"/>
      <c r="H52" s="2">
        <f>SUM(OSRRefH22_11x_0)</f>
        <v>0</v>
      </c>
      <c r="I52" s="2"/>
      <c r="J52" s="6">
        <f t="shared" si="1"/>
        <v>0</v>
      </c>
      <c r="K52" s="2"/>
      <c r="L52" s="2">
        <f t="shared" si="2"/>
        <v>30</v>
      </c>
      <c r="M52" s="2"/>
      <c r="N52" s="6">
        <f t="shared" si="3"/>
        <v>0</v>
      </c>
      <c r="O52" s="14"/>
      <c r="P52" s="2">
        <f>SUM(OSRRefP22_11x_0)</f>
        <v>240</v>
      </c>
      <c r="Q52" s="2"/>
      <c r="R52" s="6">
        <f t="shared" si="4"/>
        <v>1.0882572059631054E-2</v>
      </c>
      <c r="S52" s="2"/>
      <c r="T52" s="2">
        <f>SUM(OSRRefT22_11x_0)</f>
        <v>0</v>
      </c>
      <c r="U52" s="2"/>
      <c r="V52" s="6">
        <f t="shared" si="5"/>
        <v>0</v>
      </c>
      <c r="W52" s="2"/>
      <c r="X52" s="2">
        <f t="shared" si="6"/>
        <v>240</v>
      </c>
      <c r="Y52" s="2"/>
      <c r="Z52" s="6">
        <f t="shared" si="7"/>
        <v>0</v>
      </c>
    </row>
    <row r="53" spans="1:26" s="70" customFormat="1" ht="15" hidden="1" customHeight="1" outlineLevel="2" x14ac:dyDescent="0.3">
      <c r="A53" s="26"/>
      <c r="B53" s="12" t="str">
        <f>CONCATENATE("          ","6309"," - ","TELEPHONE")</f>
        <v xml:space="preserve">          6309 - TELEPHONE</v>
      </c>
      <c r="C53" s="12"/>
      <c r="D53" s="8">
        <v>30</v>
      </c>
      <c r="E53" s="3"/>
      <c r="F53" s="7">
        <f t="shared" si="0"/>
        <v>1.3603215074538817E-3</v>
      </c>
      <c r="G53" s="3"/>
      <c r="H53" s="8"/>
      <c r="I53" s="3"/>
      <c r="J53" s="7">
        <f t="shared" si="1"/>
        <v>0</v>
      </c>
      <c r="K53" s="3"/>
      <c r="L53" s="8">
        <f t="shared" si="2"/>
        <v>30</v>
      </c>
      <c r="M53" s="3"/>
      <c r="N53" s="7">
        <f t="shared" si="3"/>
        <v>0</v>
      </c>
      <c r="O53" s="12"/>
      <c r="P53" s="8">
        <v>240</v>
      </c>
      <c r="Q53" s="3"/>
      <c r="R53" s="7">
        <f t="shared" si="4"/>
        <v>1.0882572059631054E-2</v>
      </c>
      <c r="S53" s="3"/>
      <c r="T53" s="8"/>
      <c r="U53" s="3"/>
      <c r="V53" s="7">
        <f t="shared" si="5"/>
        <v>0</v>
      </c>
      <c r="W53" s="3"/>
      <c r="X53" s="8">
        <f t="shared" si="6"/>
        <v>240</v>
      </c>
      <c r="Y53" s="3"/>
      <c r="Z53" s="7">
        <f t="shared" si="7"/>
        <v>0</v>
      </c>
    </row>
    <row r="54" spans="1:26" s="69" customFormat="1" ht="15" customHeight="1" outlineLevel="1" collapsed="1" x14ac:dyDescent="0.3">
      <c r="A54" s="25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120</v>
      </c>
      <c r="E54" s="2"/>
      <c r="F54" s="6">
        <f t="shared" si="0"/>
        <v>5.4412860298155268E-3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120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5.4412860298155268E-3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","6376"," - ","TRAINING")</f>
        <v xml:space="preserve">          6376 - TRAINING</v>
      </c>
      <c r="C55" s="12"/>
      <c r="D55" s="8">
        <v>120</v>
      </c>
      <c r="E55" s="3"/>
      <c r="F55" s="7">
        <f t="shared" si="0"/>
        <v>5.4412860298155268E-3</v>
      </c>
      <c r="G55" s="3"/>
      <c r="H55" s="8"/>
      <c r="I55" s="3"/>
      <c r="J55" s="7">
        <f t="shared" si="1"/>
        <v>0</v>
      </c>
      <c r="K55" s="3"/>
      <c r="L55" s="8">
        <f t="shared" si="2"/>
        <v>120</v>
      </c>
      <c r="M55" s="3"/>
      <c r="N55" s="7">
        <f t="shared" si="3"/>
        <v>0</v>
      </c>
      <c r="O55" s="12"/>
      <c r="P55" s="8">
        <v>120</v>
      </c>
      <c r="Q55" s="3"/>
      <c r="R55" s="7">
        <f t="shared" si="4"/>
        <v>5.4412860298155268E-3</v>
      </c>
      <c r="S55" s="3"/>
      <c r="T55" s="8"/>
      <c r="U55" s="3"/>
      <c r="V55" s="7">
        <f t="shared" si="5"/>
        <v>0</v>
      </c>
      <c r="W55" s="3"/>
      <c r="X55" s="8">
        <f t="shared" si="6"/>
        <v>120</v>
      </c>
      <c r="Y55" s="3"/>
      <c r="Z55" s="7">
        <f t="shared" si="7"/>
        <v>0</v>
      </c>
    </row>
    <row r="56" spans="1:26" s="65" customFormat="1" ht="15" customHeight="1" x14ac:dyDescent="0.3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3">
      <c r="A57" s="11"/>
      <c r="B57" s="27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11"/>
      <c r="B59" s="28" t="s">
        <v>292</v>
      </c>
      <c r="C59" s="28"/>
      <c r="D59" s="21">
        <f>+D22-D24+D57</f>
        <v>4515.21</v>
      </c>
      <c r="E59" s="15"/>
      <c r="F59" s="22">
        <f>IF(D$12=0,0,D59/D$12)</f>
        <v>0.20473790912236137</v>
      </c>
      <c r="G59" s="15"/>
      <c r="H59" s="21">
        <f>+H22-H24+H57</f>
        <v>-588</v>
      </c>
      <c r="I59" s="15"/>
      <c r="J59" s="22">
        <f>IF(H$12=0,0,H59/H$12)</f>
        <v>0</v>
      </c>
      <c r="K59" s="16"/>
      <c r="L59" s="21">
        <f>+D59-H59</f>
        <v>5103.21</v>
      </c>
      <c r="M59" s="16"/>
      <c r="N59" s="22">
        <f>IF(H59=0,0,L59/H59)</f>
        <v>-8.6789285714285711</v>
      </c>
      <c r="O59" s="27"/>
      <c r="P59" s="21">
        <f>+P22-P24+P57</f>
        <v>-5580.8199999999979</v>
      </c>
      <c r="Q59" s="15"/>
      <c r="R59" s="22">
        <f>IF(P$12=0,0,P59/P$12)</f>
        <v>-0.25305698250762565</v>
      </c>
      <c r="S59" s="15"/>
      <c r="T59" s="21">
        <f>+T22-T24+T57</f>
        <v>-4704</v>
      </c>
      <c r="U59" s="15"/>
      <c r="V59" s="22">
        <f>IF(T$12=0,0,T59/T$12)</f>
        <v>0</v>
      </c>
      <c r="W59" s="16"/>
      <c r="X59" s="21">
        <f>+P59-T59</f>
        <v>-876.81999999999789</v>
      </c>
      <c r="Y59" s="16"/>
      <c r="Z59" s="22">
        <f>IF(T59=0,0,X59/T59)</f>
        <v>0.18639880952380908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49"/>
      <c r="B61" s="11" t="s">
        <v>293</v>
      </c>
      <c r="C61" s="11"/>
      <c r="D61" s="5">
        <v>2752.79</v>
      </c>
      <c r="E61" s="5"/>
      <c r="F61" s="13">
        <f>IF(D$12=0,0,D61/D$12)</f>
        <v>0.1248226480834657</v>
      </c>
      <c r="G61" s="5"/>
      <c r="H61" s="5"/>
      <c r="I61" s="5"/>
      <c r="J61" s="13">
        <f>IF(H$12=0,0,H61/H$12)</f>
        <v>0</v>
      </c>
      <c r="K61" s="5"/>
      <c r="L61" s="5">
        <f>+D61-H61</f>
        <v>2752.79</v>
      </c>
      <c r="M61" s="5"/>
      <c r="N61" s="13">
        <f>IF(H61=0,0,L61/H61)</f>
        <v>0</v>
      </c>
      <c r="O61" s="11"/>
      <c r="P61" s="5">
        <v>2752.79</v>
      </c>
      <c r="Q61" s="5"/>
      <c r="R61" s="13">
        <f>IF(P$12=0,0,P61/P$12)</f>
        <v>0.1248226480834657</v>
      </c>
      <c r="S61" s="5"/>
      <c r="T61" s="5"/>
      <c r="U61" s="5"/>
      <c r="V61" s="13">
        <f>IF(T$12=0,0,T61/T$12)</f>
        <v>0</v>
      </c>
      <c r="W61" s="5"/>
      <c r="X61" s="5">
        <f>+P61-T61</f>
        <v>2752.79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3">
      <c r="A63" s="11"/>
      <c r="B63" s="28" t="s">
        <v>294</v>
      </c>
      <c r="C63" s="28"/>
      <c r="D63" s="33">
        <f>+D59-D61</f>
        <v>1762.42</v>
      </c>
      <c r="E63" s="15"/>
      <c r="F63" s="32">
        <f>IF(D$12=0,0,D63/D$12)</f>
        <v>7.991526103889568E-2</v>
      </c>
      <c r="G63" s="15"/>
      <c r="H63" s="33">
        <f>+H59-H61</f>
        <v>-588</v>
      </c>
      <c r="I63" s="15"/>
      <c r="J63" s="32">
        <f>IF(H$12=0,0,H63/H$12)</f>
        <v>0</v>
      </c>
      <c r="K63" s="16"/>
      <c r="L63" s="33">
        <f>D63-H63</f>
        <v>2350.42</v>
      </c>
      <c r="M63" s="16"/>
      <c r="N63" s="32">
        <f>IF(H63=0,0,L63/H63)</f>
        <v>-3.9973129251700681</v>
      </c>
      <c r="O63" s="27"/>
      <c r="P63" s="33">
        <f>+P59-P61</f>
        <v>-8333.6099999999969</v>
      </c>
      <c r="Q63" s="15"/>
      <c r="R63" s="32">
        <f>IF(P$12=0,0,P63/P$12)</f>
        <v>-0.37787963059109131</v>
      </c>
      <c r="S63" s="15"/>
      <c r="T63" s="33">
        <f>+T59-T61</f>
        <v>-4704</v>
      </c>
      <c r="U63" s="15"/>
      <c r="V63" s="32">
        <f>IF(T$12=0,0,T63/T$12)</f>
        <v>0</v>
      </c>
      <c r="W63" s="16"/>
      <c r="X63" s="33">
        <f>P63-T63</f>
        <v>-3629.6099999999969</v>
      </c>
      <c r="Y63" s="16"/>
      <c r="Z63" s="32">
        <f>IF(T63=0,0,X63/T63)</f>
        <v>0.77160076530612176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3">
      <c r="A66" s="11"/>
      <c r="B66" s="28" t="s">
        <v>297</v>
      </c>
      <c r="C66" s="28"/>
      <c r="D66" s="34">
        <f>SUM(D63:D65)</f>
        <v>1762.42</v>
      </c>
      <c r="E66" s="15"/>
      <c r="F66" s="30">
        <f>IF(D$12=0,0,D66/D$12)</f>
        <v>7.991526103889568E-2</v>
      </c>
      <c r="G66" s="15"/>
      <c r="H66" s="34">
        <f>SUM(H63:H65)</f>
        <v>-588</v>
      </c>
      <c r="I66" s="15"/>
      <c r="J66" s="30">
        <f>IF(H$12=0,0,H66/H$12)</f>
        <v>0</v>
      </c>
      <c r="K66" s="16"/>
      <c r="L66" s="34">
        <f>+D66-H66</f>
        <v>2350.42</v>
      </c>
      <c r="M66" s="16"/>
      <c r="N66" s="30">
        <f>IF(H66=0,0,L66/H66)</f>
        <v>-3.9973129251700681</v>
      </c>
      <c r="O66" s="27"/>
      <c r="P66" s="34">
        <f>SUM(P63:P65)</f>
        <v>-8333.6099999999969</v>
      </c>
      <c r="Q66" s="15"/>
      <c r="R66" s="30">
        <f>IF(P$12=0,0,P66/P$12)</f>
        <v>-0.37787963059109131</v>
      </c>
      <c r="S66" s="15"/>
      <c r="T66" s="34">
        <f>SUM(T63:T65)</f>
        <v>-4704</v>
      </c>
      <c r="U66" s="15"/>
      <c r="V66" s="30">
        <f>IF(T$12=0,0,T66/T$12)</f>
        <v>0</v>
      </c>
      <c r="W66" s="16"/>
      <c r="X66" s="34">
        <f>+P66-T66</f>
        <v>-3629.6099999999969</v>
      </c>
      <c r="Y66" s="16"/>
      <c r="Z66" s="30">
        <f>IF(T66=0,0,X66/T66)</f>
        <v>0.77160076530612176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6" ht="15" customHeight="1" x14ac:dyDescent="0.3">
      <c r="A68" s="10"/>
      <c r="B68" s="57">
        <v>44634.883430555557</v>
      </c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6" ht="15" customHeight="1" x14ac:dyDescent="0.3">
      <c r="A69" s="10"/>
      <c r="B69" s="56" t="s">
        <v>298</v>
      </c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  <row r="70" spans="1:26" ht="15" customHeight="1" x14ac:dyDescent="0.3">
      <c r="A70" s="10"/>
      <c r="B70" s="54"/>
      <c r="D70" s="19"/>
      <c r="E70" s="19"/>
      <c r="G70" s="19"/>
      <c r="H70" s="19"/>
      <c r="I70" s="19"/>
      <c r="J70" s="41"/>
      <c r="K70" s="19"/>
      <c r="L70" s="19"/>
      <c r="M70" s="19"/>
      <c r="P70" s="19"/>
      <c r="Q70" s="19"/>
      <c r="R70" s="41"/>
      <c r="S70" s="19"/>
      <c r="T70" s="19"/>
      <c r="U70" s="19"/>
      <c r="V70" s="41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1"/>
      <c r="K71" s="19"/>
      <c r="L71" s="19"/>
      <c r="M71" s="19"/>
      <c r="P71" s="19"/>
      <c r="Q71" s="19"/>
      <c r="R71" s="41"/>
      <c r="S71" s="19"/>
      <c r="T71" s="19"/>
      <c r="U71" s="19"/>
      <c r="V71" s="41"/>
      <c r="W71" s="19"/>
      <c r="X71" s="19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F712B-3DE6-45A4-2B59-6379BF9F15DA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","321"," - ","Corner Market")</f>
        <v>Department 321 - Corner Market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25746.41</v>
      </c>
      <c r="E12" s="5"/>
      <c r="F12" s="13"/>
      <c r="G12" s="5"/>
      <c r="H12" s="5">
        <f>SUM(OSRRefH13x_0)</f>
        <v>29378</v>
      </c>
      <c r="I12" s="5"/>
      <c r="J12" s="13"/>
      <c r="K12" s="5"/>
      <c r="L12" s="5">
        <f>+D12-H12</f>
        <v>-3631.59</v>
      </c>
      <c r="M12" s="5"/>
      <c r="N12" s="13">
        <f>IF(H12=0,0,L12/H12)</f>
        <v>-0.12361597113486283</v>
      </c>
      <c r="O12" s="11"/>
      <c r="P12" s="5">
        <f>SUM(OSRRefP13x_0)</f>
        <v>25746.41</v>
      </c>
      <c r="Q12" s="5"/>
      <c r="R12" s="13"/>
      <c r="S12" s="5"/>
      <c r="T12" s="5">
        <f>SUM(OSRRefT13x_0)</f>
        <v>87379</v>
      </c>
      <c r="U12" s="5"/>
      <c r="V12" s="13"/>
      <c r="W12" s="5"/>
      <c r="X12" s="5">
        <f>+P12-T12</f>
        <v>-61632.59</v>
      </c>
      <c r="Y12" s="5"/>
      <c r="Z12" s="13">
        <f>IF(T12=0,0,X12/T12)</f>
        <v>-0.70534785245882869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--4375.81</f>
        <v>4375.8100000000004</v>
      </c>
      <c r="E13" s="3"/>
      <c r="F13" s="20"/>
      <c r="G13" s="3"/>
      <c r="H13" s="3">
        <v>6822</v>
      </c>
      <c r="I13" s="3"/>
      <c r="J13" s="20"/>
      <c r="K13" s="3"/>
      <c r="L13" s="3">
        <f>+D13-H13</f>
        <v>-2446.1899999999996</v>
      </c>
      <c r="M13" s="3"/>
      <c r="N13" s="20">
        <f>IF(H13=0,0,L13/H13)</f>
        <v>-0.35857373204338899</v>
      </c>
      <c r="O13" s="12"/>
      <c r="P13" s="3">
        <f>--4375.81</f>
        <v>4375.8100000000004</v>
      </c>
      <c r="Q13" s="3"/>
      <c r="R13" s="20"/>
      <c r="S13" s="3"/>
      <c r="T13" s="3">
        <v>20290</v>
      </c>
      <c r="U13" s="3"/>
      <c r="V13" s="20"/>
      <c r="W13" s="3"/>
      <c r="X13" s="3">
        <f>+P13-T13</f>
        <v>-15914.189999999999</v>
      </c>
      <c r="Y13" s="3"/>
      <c r="Z13" s="20">
        <f>IF(T13=0,0,X13/T13)</f>
        <v>-0.78433661902414975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--21370.6</f>
        <v>21370.6</v>
      </c>
      <c r="E14" s="3"/>
      <c r="F14" s="20"/>
      <c r="G14" s="3"/>
      <c r="H14" s="3">
        <v>22556</v>
      </c>
      <c r="I14" s="3"/>
      <c r="J14" s="20"/>
      <c r="K14" s="3"/>
      <c r="L14" s="3">
        <f>+D14-H14</f>
        <v>-1185.4000000000015</v>
      </c>
      <c r="M14" s="3"/>
      <c r="N14" s="20">
        <f>IF(H14=0,0,L14/H14)</f>
        <v>-5.255364426316729E-2</v>
      </c>
      <c r="O14" s="12"/>
      <c r="P14" s="3">
        <f>--21370.6</f>
        <v>21370.6</v>
      </c>
      <c r="Q14" s="3"/>
      <c r="R14" s="20"/>
      <c r="S14" s="3"/>
      <c r="T14" s="3">
        <v>67089</v>
      </c>
      <c r="U14" s="3"/>
      <c r="V14" s="20"/>
      <c r="W14" s="3"/>
      <c r="X14" s="3">
        <f>+P14-T14</f>
        <v>-45718.400000000001</v>
      </c>
      <c r="Y14" s="3"/>
      <c r="Z14" s="20">
        <f>IF(T14=0,0,X14/T14)</f>
        <v>-0.68145895750421082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7" t="s">
        <v>288</v>
      </c>
      <c r="C16" s="11"/>
      <c r="D16" s="5">
        <f>SUM(OSRRefD16x_0)</f>
        <v>12616.060000000001</v>
      </c>
      <c r="E16" s="5"/>
      <c r="F16" s="13">
        <f>IF(D$12=0,0,D16/D$12)</f>
        <v>0.49001239396094454</v>
      </c>
      <c r="G16" s="5"/>
      <c r="H16" s="5">
        <f>SUM(OSRRefH16x_0)</f>
        <v>14395</v>
      </c>
      <c r="I16" s="5"/>
      <c r="J16" s="13">
        <f>IF(H$12=0,0,H16/H$12)</f>
        <v>0.48999251140309075</v>
      </c>
      <c r="K16" s="5"/>
      <c r="L16" s="5">
        <f>+D16-H16</f>
        <v>-1778.9399999999987</v>
      </c>
      <c r="M16" s="5"/>
      <c r="N16" s="13">
        <f>IF(H16=0,0,L16/H16)</f>
        <v>-0.12358040986453621</v>
      </c>
      <c r="O16" s="11"/>
      <c r="P16" s="5">
        <f>SUM(OSRRefP16x_0)</f>
        <v>21255.06</v>
      </c>
      <c r="Q16" s="5"/>
      <c r="R16" s="13">
        <f>IF(P$12=0,0,P16/P$12)</f>
        <v>0.8255543200003419</v>
      </c>
      <c r="S16" s="5"/>
      <c r="T16" s="5">
        <f>SUM(OSRRefT16x_0)</f>
        <v>42815</v>
      </c>
      <c r="U16" s="5"/>
      <c r="V16" s="13">
        <f>IF(T$12=0,0,T16/T$12)</f>
        <v>0.48999187447784937</v>
      </c>
      <c r="W16" s="5"/>
      <c r="X16" s="5">
        <f>+P16-T16</f>
        <v>-21559.94</v>
      </c>
      <c r="Y16" s="5"/>
      <c r="Z16" s="13">
        <f>IF(T16=0,0,X16/T16)</f>
        <v>-0.50356043442718668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>
        <v>-10213</v>
      </c>
      <c r="E17" s="3"/>
      <c r="F17" s="20">
        <f>IF(D$12=0,0,D17/D$12)</f>
        <v>-0.39667666288232029</v>
      </c>
      <c r="G17" s="3"/>
      <c r="H17" s="3">
        <v>14395</v>
      </c>
      <c r="I17" s="3"/>
      <c r="J17" s="20">
        <f>IF(H$12=0,0,H17/H$12)</f>
        <v>0.48999251140309075</v>
      </c>
      <c r="K17" s="3"/>
      <c r="L17" s="3">
        <f>+D17-H17</f>
        <v>-24608</v>
      </c>
      <c r="M17" s="3"/>
      <c r="N17" s="20">
        <f>IF(H17=0,0,L17/H17)</f>
        <v>-1.7094824591872178</v>
      </c>
      <c r="O17" s="12"/>
      <c r="P17" s="3">
        <v>-10213</v>
      </c>
      <c r="Q17" s="3"/>
      <c r="R17" s="20">
        <f>IF(P$12=0,0,P17/P$12)</f>
        <v>-0.39667666288232029</v>
      </c>
      <c r="S17" s="3"/>
      <c r="T17" s="3">
        <v>42815</v>
      </c>
      <c r="U17" s="3"/>
      <c r="V17" s="20">
        <f>IF(T$12=0,0,T17/T$12)</f>
        <v>0.48999187447784937</v>
      </c>
      <c r="W17" s="3"/>
      <c r="X17" s="3">
        <f>+P17-T17</f>
        <v>-53028</v>
      </c>
      <c r="Y17" s="3"/>
      <c r="Z17" s="20">
        <f>IF(T17=0,0,X17/T17)</f>
        <v>-1.2385378955973374</v>
      </c>
    </row>
    <row r="18" spans="1:26" s="70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22829.06</v>
      </c>
      <c r="E18" s="3"/>
      <c r="F18" s="20">
        <f>IF(D$12=0,0,D18/D$12)</f>
        <v>0.88668905684326482</v>
      </c>
      <c r="G18" s="3"/>
      <c r="H18" s="3"/>
      <c r="I18" s="3"/>
      <c r="J18" s="20">
        <f>IF(H$12=0,0,H18/H$12)</f>
        <v>0</v>
      </c>
      <c r="K18" s="3"/>
      <c r="L18" s="3">
        <f>+D18-H18</f>
        <v>22829.06</v>
      </c>
      <c r="M18" s="3"/>
      <c r="N18" s="20">
        <f>IF(H18=0,0,L18/H18)</f>
        <v>0</v>
      </c>
      <c r="O18" s="12"/>
      <c r="P18" s="3">
        <v>31468.06</v>
      </c>
      <c r="Q18" s="3"/>
      <c r="R18" s="20">
        <f>IF(P$12=0,0,P18/P$12)</f>
        <v>1.2222309828826621</v>
      </c>
      <c r="S18" s="3"/>
      <c r="T18" s="3"/>
      <c r="U18" s="3"/>
      <c r="V18" s="20">
        <f>IF(T$12=0,0,T18/T$12)</f>
        <v>0</v>
      </c>
      <c r="W18" s="3"/>
      <c r="X18" s="3">
        <f>+P18-T18</f>
        <v>31468.06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3">
      <c r="A20" s="11"/>
      <c r="B20" s="28" t="s">
        <v>289</v>
      </c>
      <c r="C20" s="28"/>
      <c r="D20" s="21">
        <f>D12-D16</f>
        <v>13130.349999999999</v>
      </c>
      <c r="E20" s="15"/>
      <c r="F20" s="22">
        <f>IF(D$12=0,0,D20/D$12)</f>
        <v>0.50998760603905546</v>
      </c>
      <c r="G20" s="15"/>
      <c r="H20" s="21">
        <f>H12-H16</f>
        <v>14983</v>
      </c>
      <c r="I20" s="15"/>
      <c r="J20" s="22">
        <f>IF(H$12=0,0,H20/H$12)</f>
        <v>0.51000748859690925</v>
      </c>
      <c r="K20" s="16"/>
      <c r="L20" s="21">
        <f>+D20-H20</f>
        <v>-1852.6500000000015</v>
      </c>
      <c r="M20" s="16"/>
      <c r="N20" s="22">
        <f>IF(H20=0,0,L20/H20)</f>
        <v>-0.1236501368217314</v>
      </c>
      <c r="O20" s="27"/>
      <c r="P20" s="21">
        <f>P12-P16</f>
        <v>4491.3499999999985</v>
      </c>
      <c r="Q20" s="15"/>
      <c r="R20" s="22">
        <f>IF(P$12=0,0,P20/P$12)</f>
        <v>0.17444567999965815</v>
      </c>
      <c r="S20" s="15"/>
      <c r="T20" s="21">
        <f>T12-T16</f>
        <v>44564</v>
      </c>
      <c r="U20" s="15"/>
      <c r="V20" s="22">
        <f>IF(T$12=0,0,T20/T$12)</f>
        <v>0.51000812552215058</v>
      </c>
      <c r="W20" s="16"/>
      <c r="X20" s="21">
        <f>+P20-T20</f>
        <v>-40072.65</v>
      </c>
      <c r="Y20" s="16"/>
      <c r="Z20" s="22">
        <f>IF(T20=0,0,X20/T20)</f>
        <v>-0.89921573467372773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3">
      <c r="A22" s="11"/>
      <c r="B22" s="27" t="s">
        <v>290</v>
      </c>
      <c r="C22" s="11"/>
      <c r="D22" s="23" cm="1">
        <f t="array" ref="D22">SUM(OSRRefD22x_0)</f>
        <v>15080.74</v>
      </c>
      <c r="E22" s="23"/>
      <c r="F22" s="29">
        <f t="shared" ref="F22:F53" si="0">IF(D$12=0,0,D22/D$12)</f>
        <v>0.58574146842219943</v>
      </c>
      <c r="G22" s="23"/>
      <c r="H22" s="23" cm="1">
        <f t="array" ref="H22">SUM(OSRRefH22x_0)</f>
        <v>11120.174618999999</v>
      </c>
      <c r="I22" s="23"/>
      <c r="J22" s="29">
        <f t="shared" ref="J22:J53" si="1">IF(H$12=0,0,H22/H$12)</f>
        <v>0.37852047855538157</v>
      </c>
      <c r="K22" s="5"/>
      <c r="L22" s="23">
        <f t="shared" ref="L22:L53" si="2">+D22-H22</f>
        <v>3960.5653810000003</v>
      </c>
      <c r="M22" s="5"/>
      <c r="N22" s="29">
        <f t="shared" ref="N22:N53" si="3">IF(H22=0,0,L22/H22)</f>
        <v>0.35616035869013729</v>
      </c>
      <c r="O22" s="11"/>
      <c r="P22" s="23" cm="1">
        <f t="array" ref="P22">SUM(OSRRefP22x_0)</f>
        <v>35050.070000000007</v>
      </c>
      <c r="Q22" s="23"/>
      <c r="R22" s="29">
        <f t="shared" ref="R22:R53" si="4">IF(P$12=0,0,P22/P$12)</f>
        <v>1.3613575640254314</v>
      </c>
      <c r="S22" s="23"/>
      <c r="T22" s="23" cm="1">
        <f t="array" ref="T22">SUM(OSRRefT22x_0)</f>
        <v>59317.67019425</v>
      </c>
      <c r="U22" s="23"/>
      <c r="V22" s="29">
        <f t="shared" ref="V22:V53" si="5">IF(T$12=0,0,T22/T$12)</f>
        <v>0.6788549902636789</v>
      </c>
      <c r="W22" s="5"/>
      <c r="X22" s="23">
        <f t="shared" ref="X22:X53" si="6">+P22-T22</f>
        <v>-24267.600194249993</v>
      </c>
      <c r="Y22" s="5"/>
      <c r="Z22" s="29">
        <f t="shared" ref="Z22:Z53" si="7">IF(T22=0,0,X22/T22)</f>
        <v>-0.40911249741906403</v>
      </c>
    </row>
    <row r="23" spans="1:26" s="69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2653.41</v>
      </c>
      <c r="E23" s="2"/>
      <c r="F23" s="6">
        <f t="shared" si="0"/>
        <v>0.10305941682743341</v>
      </c>
      <c r="G23" s="2"/>
      <c r="H23" s="2">
        <f>SUM(OSRRefH22_0x_0)</f>
        <v>537.50561900000002</v>
      </c>
      <c r="I23" s="2"/>
      <c r="J23" s="6">
        <f t="shared" si="1"/>
        <v>1.8296195077949488E-2</v>
      </c>
      <c r="K23" s="2"/>
      <c r="L23" s="2">
        <f t="shared" si="2"/>
        <v>2115.9043809999998</v>
      </c>
      <c r="M23" s="2"/>
      <c r="N23" s="6">
        <f t="shared" si="3"/>
        <v>3.9365251379818593</v>
      </c>
      <c r="O23" s="14"/>
      <c r="P23" s="2">
        <f>SUM(OSRRefP22_0x_0)</f>
        <v>6287.69</v>
      </c>
      <c r="Q23" s="2"/>
      <c r="R23" s="6">
        <f t="shared" si="4"/>
        <v>0.24421618392622504</v>
      </c>
      <c r="S23" s="2"/>
      <c r="T23" s="2">
        <f>SUM(OSRRefT22_0x_0)</f>
        <v>3152.4329442500002</v>
      </c>
      <c r="U23" s="2"/>
      <c r="V23" s="6">
        <f t="shared" si="5"/>
        <v>3.6077695375891235E-2</v>
      </c>
      <c r="W23" s="2"/>
      <c r="X23" s="2">
        <f t="shared" si="6"/>
        <v>3135.2570557499994</v>
      </c>
      <c r="Y23" s="2"/>
      <c r="Z23" s="6">
        <f t="shared" si="7"/>
        <v>0.99455154517042799</v>
      </c>
    </row>
    <row r="24" spans="1:26" s="70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425.65</v>
      </c>
      <c r="E24" s="3"/>
      <c r="F24" s="7">
        <f t="shared" si="0"/>
        <v>1.6532401993132245E-2</v>
      </c>
      <c r="G24" s="3"/>
      <c r="H24" s="8">
        <v>154.76661899999999</v>
      </c>
      <c r="I24" s="3"/>
      <c r="J24" s="7">
        <f t="shared" si="1"/>
        <v>5.2681128395397911E-3</v>
      </c>
      <c r="K24" s="3"/>
      <c r="L24" s="8">
        <f t="shared" si="2"/>
        <v>270.88338099999999</v>
      </c>
      <c r="M24" s="3"/>
      <c r="N24" s="7">
        <f t="shared" si="3"/>
        <v>1.7502700695425801</v>
      </c>
      <c r="O24" s="12"/>
      <c r="P24" s="8">
        <v>1027.6199999999999</v>
      </c>
      <c r="Q24" s="3"/>
      <c r="R24" s="7">
        <f t="shared" si="4"/>
        <v>3.9913137404399286E-2</v>
      </c>
      <c r="S24" s="3"/>
      <c r="T24" s="8">
        <v>987.82819425000002</v>
      </c>
      <c r="U24" s="3"/>
      <c r="V24" s="7">
        <f t="shared" si="5"/>
        <v>1.1305098413234302E-2</v>
      </c>
      <c r="W24" s="3"/>
      <c r="X24" s="8">
        <f t="shared" si="6"/>
        <v>39.791805749999867</v>
      </c>
      <c r="Y24" s="3"/>
      <c r="Z24" s="7">
        <f t="shared" si="7"/>
        <v>4.0282111789906393E-2</v>
      </c>
    </row>
    <row r="25" spans="1:26" s="70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96.74</v>
      </c>
      <c r="E25" s="3"/>
      <c r="F25" s="7">
        <f t="shared" si="0"/>
        <v>3.7574170534843496E-3</v>
      </c>
      <c r="G25" s="3"/>
      <c r="H25" s="8">
        <v>207.22583</v>
      </c>
      <c r="I25" s="3"/>
      <c r="J25" s="7">
        <f t="shared" si="1"/>
        <v>7.0537759547961059E-3</v>
      </c>
      <c r="K25" s="3"/>
      <c r="L25" s="8">
        <f t="shared" si="2"/>
        <v>-110.48583000000001</v>
      </c>
      <c r="M25" s="3"/>
      <c r="N25" s="7">
        <f t="shared" si="3"/>
        <v>-0.53316630460594616</v>
      </c>
      <c r="O25" s="12"/>
      <c r="P25" s="8">
        <v>221.66</v>
      </c>
      <c r="Q25" s="3"/>
      <c r="R25" s="7">
        <f t="shared" si="4"/>
        <v>8.6093556344360236E-3</v>
      </c>
      <c r="S25" s="3"/>
      <c r="T25" s="8">
        <v>1171.9788575</v>
      </c>
      <c r="U25" s="3"/>
      <c r="V25" s="7">
        <f t="shared" si="5"/>
        <v>1.341259178406711E-2</v>
      </c>
      <c r="W25" s="3"/>
      <c r="X25" s="8">
        <f t="shared" si="6"/>
        <v>-950.31885750000004</v>
      </c>
      <c r="Y25" s="3"/>
      <c r="Z25" s="7">
        <f t="shared" si="7"/>
        <v>-0.81086689526734912</v>
      </c>
    </row>
    <row r="26" spans="1:26" s="70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1284.44</v>
      </c>
      <c r="E26" s="3"/>
      <c r="F26" s="7">
        <f t="shared" si="0"/>
        <v>4.9888120324348133E-2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1284.44</v>
      </c>
      <c r="M26" s="3"/>
      <c r="N26" s="7">
        <f t="shared" si="3"/>
        <v>0</v>
      </c>
      <c r="O26" s="12"/>
      <c r="P26" s="8">
        <v>2602.66</v>
      </c>
      <c r="Q26" s="3"/>
      <c r="R26" s="7">
        <f t="shared" si="4"/>
        <v>0.10108826822846369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2602.66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16.989999999999998</v>
      </c>
      <c r="E27" s="3"/>
      <c r="F27" s="7">
        <f t="shared" si="0"/>
        <v>6.5989782653193198E-4</v>
      </c>
      <c r="G27" s="3"/>
      <c r="H27" s="8">
        <v>11.48217</v>
      </c>
      <c r="I27" s="3"/>
      <c r="J27" s="7">
        <f t="shared" si="1"/>
        <v>3.9084246715229083E-4</v>
      </c>
      <c r="K27" s="3"/>
      <c r="L27" s="8">
        <f t="shared" si="2"/>
        <v>5.5078299999999984</v>
      </c>
      <c r="M27" s="3"/>
      <c r="N27" s="7">
        <f t="shared" si="3"/>
        <v>0.47968546015256686</v>
      </c>
      <c r="O27" s="12"/>
      <c r="P27" s="8">
        <v>37.200000000000003</v>
      </c>
      <c r="Q27" s="3"/>
      <c r="R27" s="7">
        <f t="shared" si="4"/>
        <v>1.4448616331364256E-3</v>
      </c>
      <c r="S27" s="3"/>
      <c r="T27" s="8">
        <v>64.938142499999998</v>
      </c>
      <c r="U27" s="3"/>
      <c r="V27" s="7">
        <f t="shared" si="5"/>
        <v>7.4317790887970796E-4</v>
      </c>
      <c r="W27" s="3"/>
      <c r="X27" s="8">
        <f t="shared" si="6"/>
        <v>-27.738142499999995</v>
      </c>
      <c r="Y27" s="3"/>
      <c r="Z27" s="7">
        <f t="shared" si="7"/>
        <v>-0.42714715007439574</v>
      </c>
    </row>
    <row r="28" spans="1:26" s="70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/>
      <c r="E28" s="3"/>
      <c r="F28" s="7">
        <f t="shared" si="0"/>
        <v>0</v>
      </c>
      <c r="G28" s="3"/>
      <c r="H28" s="8">
        <v>0</v>
      </c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0</v>
      </c>
      <c r="U28" s="3"/>
      <c r="V28" s="7">
        <f t="shared" si="5"/>
        <v>0</v>
      </c>
      <c r="W28" s="3"/>
      <c r="X28" s="8">
        <f t="shared" si="6"/>
        <v>0</v>
      </c>
      <c r="Y28" s="3"/>
      <c r="Z28" s="7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","6116"," - ","EDUCATIONAL BENEFITS")</f>
        <v xml:space="preserve">          6116 - EDUCATIONAL BENEFITS</v>
      </c>
      <c r="C29" s="12"/>
      <c r="D29" s="8"/>
      <c r="E29" s="3"/>
      <c r="F29" s="7">
        <f t="shared" si="0"/>
        <v>0</v>
      </c>
      <c r="G29" s="3"/>
      <c r="H29" s="8">
        <v>0</v>
      </c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0</v>
      </c>
      <c r="U29" s="3"/>
      <c r="V29" s="7">
        <f t="shared" si="5"/>
        <v>0</v>
      </c>
      <c r="W29" s="3"/>
      <c r="X29" s="8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8">
        <v>250.77</v>
      </c>
      <c r="E30" s="3"/>
      <c r="F30" s="7">
        <f t="shared" si="0"/>
        <v>9.7399987027317596E-3</v>
      </c>
      <c r="G30" s="3"/>
      <c r="H30" s="8"/>
      <c r="I30" s="3"/>
      <c r="J30" s="7">
        <f t="shared" si="1"/>
        <v>0</v>
      </c>
      <c r="K30" s="3"/>
      <c r="L30" s="8">
        <f t="shared" si="2"/>
        <v>250.77</v>
      </c>
      <c r="M30" s="3"/>
      <c r="N30" s="7">
        <f t="shared" si="3"/>
        <v>0</v>
      </c>
      <c r="O30" s="12"/>
      <c r="P30" s="8">
        <v>462.43</v>
      </c>
      <c r="Q30" s="3"/>
      <c r="R30" s="7">
        <f t="shared" si="4"/>
        <v>1.7960950672346165E-2</v>
      </c>
      <c r="S30" s="3"/>
      <c r="T30" s="8"/>
      <c r="U30" s="3"/>
      <c r="V30" s="7">
        <f t="shared" si="5"/>
        <v>0</v>
      </c>
      <c r="W30" s="3"/>
      <c r="X30" s="8">
        <f t="shared" si="6"/>
        <v>462.43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163.24</v>
      </c>
      <c r="E31" s="3"/>
      <c r="F31" s="7">
        <f t="shared" si="0"/>
        <v>6.3403014245481219E-3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163.24</v>
      </c>
      <c r="M31" s="3"/>
      <c r="N31" s="7">
        <f t="shared" si="3"/>
        <v>0</v>
      </c>
      <c r="O31" s="12"/>
      <c r="P31" s="8">
        <v>571.34</v>
      </c>
      <c r="Q31" s="3"/>
      <c r="R31" s="7">
        <f t="shared" si="4"/>
        <v>2.2191054985918425E-2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571.34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195.58</v>
      </c>
      <c r="E32" s="3"/>
      <c r="F32" s="7">
        <f t="shared" si="0"/>
        <v>7.5963988765812406E-3</v>
      </c>
      <c r="G32" s="3"/>
      <c r="H32" s="8">
        <v>164.03100000000001</v>
      </c>
      <c r="I32" s="3"/>
      <c r="J32" s="7">
        <f t="shared" si="1"/>
        <v>5.5834638164612982E-3</v>
      </c>
      <c r="K32" s="3"/>
      <c r="L32" s="8">
        <f t="shared" si="2"/>
        <v>31.549000000000007</v>
      </c>
      <c r="M32" s="3"/>
      <c r="N32" s="7">
        <f t="shared" si="3"/>
        <v>0.19233559510092607</v>
      </c>
      <c r="O32" s="12"/>
      <c r="P32" s="8">
        <v>684.53</v>
      </c>
      <c r="Q32" s="3"/>
      <c r="R32" s="7">
        <f t="shared" si="4"/>
        <v>2.6587396068034338E-2</v>
      </c>
      <c r="S32" s="3"/>
      <c r="T32" s="8">
        <v>927.68775000000005</v>
      </c>
      <c r="U32" s="3"/>
      <c r="V32" s="7">
        <f t="shared" si="5"/>
        <v>1.0616827269710114E-2</v>
      </c>
      <c r="W32" s="3"/>
      <c r="X32" s="8">
        <f t="shared" si="6"/>
        <v>-243.15775000000008</v>
      </c>
      <c r="Y32" s="3"/>
      <c r="Z32" s="7">
        <f t="shared" si="7"/>
        <v>-0.26211163185026431</v>
      </c>
    </row>
    <row r="33" spans="1:26" s="70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220</v>
      </c>
      <c r="E33" s="3"/>
      <c r="F33" s="7">
        <f t="shared" si="0"/>
        <v>8.5448806260756353E-3</v>
      </c>
      <c r="G33" s="3"/>
      <c r="H33" s="8"/>
      <c r="I33" s="3"/>
      <c r="J33" s="7">
        <f t="shared" si="1"/>
        <v>0</v>
      </c>
      <c r="K33" s="3"/>
      <c r="L33" s="8">
        <f t="shared" si="2"/>
        <v>220</v>
      </c>
      <c r="M33" s="3"/>
      <c r="N33" s="7">
        <f t="shared" si="3"/>
        <v>0</v>
      </c>
      <c r="O33" s="12"/>
      <c r="P33" s="8">
        <v>680.25</v>
      </c>
      <c r="Q33" s="3"/>
      <c r="R33" s="7">
        <f t="shared" si="4"/>
        <v>2.6421159299490685E-2</v>
      </c>
      <c r="S33" s="3"/>
      <c r="T33" s="8"/>
      <c r="U33" s="3"/>
      <c r="V33" s="7">
        <f t="shared" si="5"/>
        <v>0</v>
      </c>
      <c r="W33" s="3"/>
      <c r="X33" s="8">
        <f t="shared" si="6"/>
        <v>680.25</v>
      </c>
      <c r="Y33" s="3"/>
      <c r="Z33" s="7">
        <f t="shared" si="7"/>
        <v>0</v>
      </c>
    </row>
    <row r="34" spans="1:26" s="69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8437.4</v>
      </c>
      <c r="E34" s="2"/>
      <c r="F34" s="6">
        <f t="shared" si="0"/>
        <v>0.32771170815659345</v>
      </c>
      <c r="G34" s="2"/>
      <c r="H34" s="2">
        <f>SUM(OSRRefH22_1x_0)</f>
        <v>5303.6689999999999</v>
      </c>
      <c r="I34" s="2"/>
      <c r="J34" s="6">
        <f t="shared" si="1"/>
        <v>0.18053199673224862</v>
      </c>
      <c r="K34" s="2"/>
      <c r="L34" s="2">
        <f t="shared" si="2"/>
        <v>3133.7309999999998</v>
      </c>
      <c r="M34" s="2"/>
      <c r="N34" s="6">
        <f t="shared" si="3"/>
        <v>0.59086096813356936</v>
      </c>
      <c r="O34" s="14"/>
      <c r="P34" s="2">
        <f>SUM(OSRRefP22_1x_0)</f>
        <v>17155.63</v>
      </c>
      <c r="Q34" s="2"/>
      <c r="R34" s="6">
        <f t="shared" si="4"/>
        <v>0.66633095643237261</v>
      </c>
      <c r="S34" s="2"/>
      <c r="T34" s="2">
        <f>SUM(OSRRefT22_1x_0)</f>
        <v>29995.237249999998</v>
      </c>
      <c r="U34" s="2"/>
      <c r="V34" s="6">
        <f t="shared" si="5"/>
        <v>0.34327741505396031</v>
      </c>
      <c r="W34" s="2"/>
      <c r="X34" s="2">
        <f t="shared" si="6"/>
        <v>-12839.607249999997</v>
      </c>
      <c r="Y34" s="2"/>
      <c r="Z34" s="6">
        <f t="shared" si="7"/>
        <v>-0.42805486561037281</v>
      </c>
    </row>
    <row r="35" spans="1:26" s="70" customFormat="1" ht="15" hidden="1" customHeight="1" outlineLevel="2" x14ac:dyDescent="0.3">
      <c r="A35" s="26"/>
      <c r="B35" s="12" t="str">
        <f>CONCATENATE("          ","6001"," - ","ADMINISTRATIVE SALARIES")</f>
        <v xml:space="preserve">          6001 - ADMINISTRATIVE SALARIES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","6002"," - ","STAFF SALARIES")</f>
        <v xml:space="preserve">          6002 - STAFF SALARIES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","6003"," - ","STAFF HOURLY-9 MONTH")</f>
        <v xml:space="preserve">          6003 - STAFF HOURLY-9 MONTH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8">
        <v>6601.4</v>
      </c>
      <c r="E38" s="3"/>
      <c r="F38" s="7">
        <f t="shared" si="0"/>
        <v>0.2564007952953441</v>
      </c>
      <c r="G38" s="3"/>
      <c r="H38" s="8">
        <v>1961.6310000000001</v>
      </c>
      <c r="I38" s="3"/>
      <c r="J38" s="7">
        <f t="shared" si="1"/>
        <v>6.6772108380420719E-2</v>
      </c>
      <c r="K38" s="3"/>
      <c r="L38" s="8">
        <f t="shared" si="2"/>
        <v>4639.7689999999993</v>
      </c>
      <c r="M38" s="3"/>
      <c r="N38" s="7">
        <f t="shared" si="3"/>
        <v>2.3652608467137801</v>
      </c>
      <c r="O38" s="12"/>
      <c r="P38" s="8">
        <v>14161.33</v>
      </c>
      <c r="Q38" s="3"/>
      <c r="R38" s="7">
        <f t="shared" si="4"/>
        <v>0.55003124707483486</v>
      </c>
      <c r="S38" s="3"/>
      <c r="T38" s="8">
        <v>12520.49325</v>
      </c>
      <c r="U38" s="3"/>
      <c r="V38" s="7">
        <f t="shared" si="5"/>
        <v>0.1432895003376097</v>
      </c>
      <c r="W38" s="3"/>
      <c r="X38" s="8">
        <f t="shared" si="6"/>
        <v>1640.8367500000004</v>
      </c>
      <c r="Y38" s="3"/>
      <c r="Z38" s="7">
        <f t="shared" si="7"/>
        <v>0.13105208534815516</v>
      </c>
    </row>
    <row r="39" spans="1:26" s="70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8">
        <v>548.64</v>
      </c>
      <c r="E39" s="3"/>
      <c r="F39" s="7">
        <f t="shared" si="0"/>
        <v>2.1309378666773349E-2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548.64</v>
      </c>
      <c r="M39" s="3"/>
      <c r="N39" s="7">
        <f t="shared" si="3"/>
        <v>0</v>
      </c>
      <c r="O39" s="12"/>
      <c r="P39" s="8">
        <v>638.94000000000005</v>
      </c>
      <c r="Q39" s="3"/>
      <c r="R39" s="7">
        <f t="shared" si="4"/>
        <v>2.4816663760112576E-2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638.94000000000005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8">
        <v>641</v>
      </c>
      <c r="E40" s="3"/>
      <c r="F40" s="7">
        <f t="shared" si="0"/>
        <v>2.4896674915065829E-2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641</v>
      </c>
      <c r="M40" s="3"/>
      <c r="N40" s="7">
        <f t="shared" si="3"/>
        <v>0</v>
      </c>
      <c r="O40" s="12"/>
      <c r="P40" s="8">
        <v>641</v>
      </c>
      <c r="Q40" s="3"/>
      <c r="R40" s="7">
        <f t="shared" si="4"/>
        <v>2.4896674915065829E-2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641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8">
        <v>225.11</v>
      </c>
      <c r="E41" s="3"/>
      <c r="F41" s="7">
        <f t="shared" si="0"/>
        <v>8.7433548987994845E-3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225.11</v>
      </c>
      <c r="M41" s="3"/>
      <c r="N41" s="7">
        <f t="shared" si="3"/>
        <v>0</v>
      </c>
      <c r="O41" s="12"/>
      <c r="P41" s="8">
        <v>1293.1099999999999</v>
      </c>
      <c r="Q41" s="3"/>
      <c r="R41" s="7">
        <f t="shared" si="4"/>
        <v>5.0224866301748473E-2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1293.1099999999999</v>
      </c>
      <c r="Y41" s="3"/>
      <c r="Z41" s="7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8">
        <v>421.25</v>
      </c>
      <c r="E42" s="3"/>
      <c r="F42" s="7">
        <f t="shared" si="0"/>
        <v>1.6361504380610733E-2</v>
      </c>
      <c r="G42" s="3"/>
      <c r="H42" s="8">
        <v>3342.038</v>
      </c>
      <c r="I42" s="3"/>
      <c r="J42" s="7">
        <f t="shared" si="1"/>
        <v>0.1137598883518279</v>
      </c>
      <c r="K42" s="3"/>
      <c r="L42" s="8">
        <f t="shared" si="2"/>
        <v>-2920.788</v>
      </c>
      <c r="M42" s="3"/>
      <c r="N42" s="7">
        <f t="shared" si="3"/>
        <v>-0.87395415611671678</v>
      </c>
      <c r="O42" s="12"/>
      <c r="P42" s="8">
        <v>421.25</v>
      </c>
      <c r="Q42" s="3"/>
      <c r="R42" s="7">
        <f t="shared" si="4"/>
        <v>1.6361504380610733E-2</v>
      </c>
      <c r="S42" s="3"/>
      <c r="T42" s="8">
        <v>17474.743999999999</v>
      </c>
      <c r="U42" s="3"/>
      <c r="V42" s="7">
        <f t="shared" si="5"/>
        <v>0.19998791471635061</v>
      </c>
      <c r="W42" s="3"/>
      <c r="X42" s="8">
        <f t="shared" si="6"/>
        <v>-17053.493999999999</v>
      </c>
      <c r="Y42" s="3"/>
      <c r="Z42" s="7">
        <f t="shared" si="7"/>
        <v>-0.97589378133379234</v>
      </c>
    </row>
    <row r="43" spans="1:26" s="70" customFormat="1" ht="15" hidden="1" customHeight="1" outlineLevel="2" x14ac:dyDescent="0.3">
      <c r="A43" s="26"/>
      <c r="B43" s="12" t="str">
        <f>CONCATENATE("          ","6009"," - ","TEMPORARY-SEASONAL")</f>
        <v xml:space="preserve">          6009 - TEMPORARY-SEASONAL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","6010"," - ","GRATUITY")</f>
        <v xml:space="preserve">          6010 - GRATUITY</v>
      </c>
      <c r="C44" s="12"/>
      <c r="D44" s="8"/>
      <c r="E44" s="3"/>
      <c r="F44" s="7">
        <f t="shared" si="0"/>
        <v>0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/>
      <c r="Q44" s="3"/>
      <c r="R44" s="7">
        <f t="shared" si="4"/>
        <v>0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485.45</v>
      </c>
      <c r="E45" s="2"/>
      <c r="F45" s="6">
        <f t="shared" si="0"/>
        <v>1.8855055908765534E-2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485.45</v>
      </c>
      <c r="M45" s="2"/>
      <c r="N45" s="6">
        <f t="shared" si="3"/>
        <v>0</v>
      </c>
      <c r="O45" s="14"/>
      <c r="P45" s="2">
        <f>SUM(OSRRefP22_2x_0)</f>
        <v>485.45</v>
      </c>
      <c r="Q45" s="2"/>
      <c r="R45" s="6">
        <f t="shared" si="4"/>
        <v>1.8855055908765534E-2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485.45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","6362"," - ","ADVERTISING EXPENSE")</f>
        <v xml:space="preserve">          6362 - ADVERTISING EXPENSE</v>
      </c>
      <c r="C46" s="12"/>
      <c r="D46" s="8">
        <v>485.45</v>
      </c>
      <c r="E46" s="3"/>
      <c r="F46" s="7">
        <f t="shared" si="0"/>
        <v>1.8855055908765534E-2</v>
      </c>
      <c r="G46" s="3"/>
      <c r="H46" s="8"/>
      <c r="I46" s="3"/>
      <c r="J46" s="7">
        <f t="shared" si="1"/>
        <v>0</v>
      </c>
      <c r="K46" s="3"/>
      <c r="L46" s="8">
        <f t="shared" si="2"/>
        <v>485.45</v>
      </c>
      <c r="M46" s="3"/>
      <c r="N46" s="7">
        <f t="shared" si="3"/>
        <v>0</v>
      </c>
      <c r="O46" s="12"/>
      <c r="P46" s="8">
        <v>485.45</v>
      </c>
      <c r="Q46" s="3"/>
      <c r="R46" s="7">
        <f t="shared" si="4"/>
        <v>1.8855055908765534E-2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485.45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-5.69</v>
      </c>
      <c r="E47" s="2"/>
      <c r="F47" s="6">
        <f t="shared" si="0"/>
        <v>-2.2100168528350168E-4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-5.69</v>
      </c>
      <c r="M47" s="2"/>
      <c r="N47" s="6">
        <f t="shared" si="3"/>
        <v>0</v>
      </c>
      <c r="O47" s="14"/>
      <c r="P47" s="2">
        <f>SUM(OSRRefP22_3x_0)</f>
        <v>-5.69</v>
      </c>
      <c r="Q47" s="2"/>
      <c r="R47" s="6">
        <f t="shared" si="4"/>
        <v>-2.2100168528350168E-4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-5.69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","6272"," - ","CASH (OVER/SHORT)")</f>
        <v xml:space="preserve">          6272 - CASH (OVER/SHORT)</v>
      </c>
      <c r="C48" s="12"/>
      <c r="D48" s="8">
        <v>-5.69</v>
      </c>
      <c r="E48" s="3"/>
      <c r="F48" s="7">
        <f t="shared" si="0"/>
        <v>-2.2100168528350168E-4</v>
      </c>
      <c r="G48" s="3"/>
      <c r="H48" s="8"/>
      <c r="I48" s="3"/>
      <c r="J48" s="7">
        <f t="shared" si="1"/>
        <v>0</v>
      </c>
      <c r="K48" s="3"/>
      <c r="L48" s="8">
        <f t="shared" si="2"/>
        <v>-5.69</v>
      </c>
      <c r="M48" s="3"/>
      <c r="N48" s="7">
        <f t="shared" si="3"/>
        <v>0</v>
      </c>
      <c r="O48" s="12"/>
      <c r="P48" s="8">
        <v>-5.69</v>
      </c>
      <c r="Q48" s="3"/>
      <c r="R48" s="7">
        <f t="shared" si="4"/>
        <v>-2.2100168528350168E-4</v>
      </c>
      <c r="S48" s="3"/>
      <c r="T48" s="8"/>
      <c r="U48" s="3"/>
      <c r="V48" s="7">
        <f t="shared" si="5"/>
        <v>0</v>
      </c>
      <c r="W48" s="3"/>
      <c r="X48" s="8">
        <f t="shared" si="6"/>
        <v>-5.69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995.57</v>
      </c>
      <c r="E49" s="2"/>
      <c r="F49" s="6">
        <f t="shared" si="0"/>
        <v>3.8668303658646007E-2</v>
      </c>
      <c r="G49" s="2"/>
      <c r="H49" s="2">
        <f>SUM(OSRRefH22_4x_0)</f>
        <v>1002</v>
      </c>
      <c r="I49" s="2"/>
      <c r="J49" s="6">
        <f t="shared" si="1"/>
        <v>3.4107155013956024E-2</v>
      </c>
      <c r="K49" s="2"/>
      <c r="L49" s="2">
        <f t="shared" si="2"/>
        <v>-6.42999999999995</v>
      </c>
      <c r="M49" s="2"/>
      <c r="N49" s="6">
        <f t="shared" si="3"/>
        <v>-6.4171656686626251E-3</v>
      </c>
      <c r="O49" s="14"/>
      <c r="P49" s="2">
        <f>SUM(OSRRefP22_4x_0)</f>
        <v>1445.93</v>
      </c>
      <c r="Q49" s="2"/>
      <c r="R49" s="6">
        <f t="shared" si="4"/>
        <v>5.6160451107552474E-2</v>
      </c>
      <c r="S49" s="2"/>
      <c r="T49" s="2">
        <f>SUM(OSRRefT22_4x_0)</f>
        <v>2980</v>
      </c>
      <c r="U49" s="2"/>
      <c r="V49" s="6">
        <f t="shared" si="5"/>
        <v>3.4104304237860358E-2</v>
      </c>
      <c r="W49" s="2"/>
      <c r="X49" s="2">
        <f t="shared" si="6"/>
        <v>-1534.07</v>
      </c>
      <c r="Y49" s="2"/>
      <c r="Z49" s="6">
        <f t="shared" si="7"/>
        <v>-0.51478859060402682</v>
      </c>
    </row>
    <row r="50" spans="1:26" s="70" customFormat="1" ht="15" hidden="1" customHeight="1" outlineLevel="2" x14ac:dyDescent="0.3">
      <c r="A50" s="26"/>
      <c r="B50" s="12" t="str">
        <f>CONCATENATE("          ","6381"," - ","BANK/CREDIT CARD FEES")</f>
        <v xml:space="preserve">          6381 - BANK/CREDIT CARD FEES</v>
      </c>
      <c r="C50" s="12"/>
      <c r="D50" s="8">
        <v>995.57</v>
      </c>
      <c r="E50" s="3"/>
      <c r="F50" s="7">
        <f t="shared" si="0"/>
        <v>3.8668303658646007E-2</v>
      </c>
      <c r="G50" s="3"/>
      <c r="H50" s="8">
        <v>1002</v>
      </c>
      <c r="I50" s="3"/>
      <c r="J50" s="7">
        <f t="shared" si="1"/>
        <v>3.4107155013956024E-2</v>
      </c>
      <c r="K50" s="3"/>
      <c r="L50" s="8">
        <f t="shared" si="2"/>
        <v>-6.42999999999995</v>
      </c>
      <c r="M50" s="3"/>
      <c r="N50" s="7">
        <f t="shared" si="3"/>
        <v>-6.4171656686626251E-3</v>
      </c>
      <c r="O50" s="12"/>
      <c r="P50" s="8">
        <v>1445.93</v>
      </c>
      <c r="Q50" s="3"/>
      <c r="R50" s="7">
        <f t="shared" si="4"/>
        <v>5.6160451107552474E-2</v>
      </c>
      <c r="S50" s="3"/>
      <c r="T50" s="8">
        <v>2980</v>
      </c>
      <c r="U50" s="3"/>
      <c r="V50" s="7">
        <f t="shared" si="5"/>
        <v>3.4104304237860358E-2</v>
      </c>
      <c r="W50" s="3"/>
      <c r="X50" s="8">
        <f t="shared" si="6"/>
        <v>-1534.07</v>
      </c>
      <c r="Y50" s="3"/>
      <c r="Z50" s="7">
        <f t="shared" si="7"/>
        <v>-0.51478859060402682</v>
      </c>
    </row>
    <row r="51" spans="1:26" s="69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264.60000000000002</v>
      </c>
      <c r="E51" s="2"/>
      <c r="F51" s="6">
        <f t="shared" si="0"/>
        <v>1.027716097118006E-2</v>
      </c>
      <c r="G51" s="2"/>
      <c r="H51" s="2">
        <f>SUM(OSRRefH22_5x_0)</f>
        <v>265</v>
      </c>
      <c r="I51" s="2"/>
      <c r="J51" s="6">
        <f t="shared" si="1"/>
        <v>9.0203553679624217E-3</v>
      </c>
      <c r="K51" s="2"/>
      <c r="L51" s="2">
        <f t="shared" si="2"/>
        <v>-0.39999999999997726</v>
      </c>
      <c r="M51" s="2"/>
      <c r="N51" s="6">
        <f t="shared" si="3"/>
        <v>-1.5094339622640652E-3</v>
      </c>
      <c r="O51" s="14"/>
      <c r="P51" s="2">
        <f>SUM(OSRRefP22_5x_0)</f>
        <v>4549.16</v>
      </c>
      <c r="Q51" s="2"/>
      <c r="R51" s="6">
        <f t="shared" si="4"/>
        <v>0.17669104158599197</v>
      </c>
      <c r="S51" s="2"/>
      <c r="T51" s="2">
        <f>SUM(OSRRefT22_5x_0)</f>
        <v>4550</v>
      </c>
      <c r="U51" s="2"/>
      <c r="V51" s="6">
        <f t="shared" si="5"/>
        <v>5.2072008148410946E-2</v>
      </c>
      <c r="W51" s="2"/>
      <c r="X51" s="2">
        <f t="shared" si="6"/>
        <v>-0.84000000000014552</v>
      </c>
      <c r="Y51" s="2"/>
      <c r="Z51" s="6">
        <f t="shared" si="7"/>
        <v>-1.8461538461541659E-4</v>
      </c>
    </row>
    <row r="52" spans="1:26" s="70" customFormat="1" ht="15" hidden="1" customHeight="1" outlineLevel="2" x14ac:dyDescent="0.3">
      <c r="A52" s="26"/>
      <c r="B52" s="12" t="str">
        <f>CONCATENATE("          ","6322"," - ","EQUIPMENT DEPRECIATION EXPENSE")</f>
        <v xml:space="preserve">          6322 - EQUIPMENT DEPRECIATION EXPENSE</v>
      </c>
      <c r="C52" s="12"/>
      <c r="D52" s="8">
        <v>264.60000000000002</v>
      </c>
      <c r="E52" s="3"/>
      <c r="F52" s="7">
        <f t="shared" si="0"/>
        <v>1.027716097118006E-2</v>
      </c>
      <c r="G52" s="3"/>
      <c r="H52" s="8">
        <v>265</v>
      </c>
      <c r="I52" s="3"/>
      <c r="J52" s="7">
        <f t="shared" si="1"/>
        <v>9.0203553679624217E-3</v>
      </c>
      <c r="K52" s="3"/>
      <c r="L52" s="8">
        <f t="shared" si="2"/>
        <v>-0.39999999999997726</v>
      </c>
      <c r="M52" s="3"/>
      <c r="N52" s="7">
        <f t="shared" si="3"/>
        <v>-1.5094339622640652E-3</v>
      </c>
      <c r="O52" s="12"/>
      <c r="P52" s="8">
        <v>4549.16</v>
      </c>
      <c r="Q52" s="3"/>
      <c r="R52" s="7">
        <f t="shared" si="4"/>
        <v>0.17669104158599197</v>
      </c>
      <c r="S52" s="3"/>
      <c r="T52" s="8">
        <v>4550</v>
      </c>
      <c r="U52" s="3"/>
      <c r="V52" s="7">
        <f t="shared" si="5"/>
        <v>5.2072008148410946E-2</v>
      </c>
      <c r="W52" s="3"/>
      <c r="X52" s="8">
        <f t="shared" si="6"/>
        <v>-0.84000000000014552</v>
      </c>
      <c r="Y52" s="3"/>
      <c r="Z52" s="7">
        <f t="shared" si="7"/>
        <v>-1.8461538461541659E-4</v>
      </c>
    </row>
    <row r="53" spans="1:26" s="69" customFormat="1" ht="15" customHeight="1" outlineLevel="1" collapsed="1" x14ac:dyDescent="0.3">
      <c r="A53" s="25"/>
      <c r="B53" s="14" t="str">
        <f>CONCATENATE("     ","General                                           ")</f>
        <v xml:space="preserve">     General                                           </v>
      </c>
      <c r="C53" s="14"/>
      <c r="D53" s="2">
        <f>SUM(OSRRefD22_6x_0)</f>
        <v>0</v>
      </c>
      <c r="E53" s="2"/>
      <c r="F53" s="6">
        <f t="shared" si="0"/>
        <v>0</v>
      </c>
      <c r="G53" s="2"/>
      <c r="H53" s="2">
        <f>SUM(OSRRefH22_6x_0)</f>
        <v>0</v>
      </c>
      <c r="I53" s="2"/>
      <c r="J53" s="6">
        <f t="shared" si="1"/>
        <v>0</v>
      </c>
      <c r="K53" s="2"/>
      <c r="L53" s="2">
        <f t="shared" si="2"/>
        <v>0</v>
      </c>
      <c r="M53" s="2"/>
      <c r="N53" s="6">
        <f t="shared" si="3"/>
        <v>0</v>
      </c>
      <c r="O53" s="14"/>
      <c r="P53" s="2">
        <f>SUM(OSRRefP22_6x_0)</f>
        <v>1153.93</v>
      </c>
      <c r="Q53" s="2"/>
      <c r="R53" s="6">
        <f t="shared" si="4"/>
        <v>4.4819064094761177E-2</v>
      </c>
      <c r="S53" s="2"/>
      <c r="T53" s="2">
        <f>SUM(OSRRefT22_6x_0)</f>
        <v>755</v>
      </c>
      <c r="U53" s="2"/>
      <c r="V53" s="6">
        <f t="shared" si="5"/>
        <v>8.6405200334176407E-3</v>
      </c>
      <c r="W53" s="2"/>
      <c r="X53" s="2">
        <f t="shared" si="6"/>
        <v>398.93000000000006</v>
      </c>
      <c r="Y53" s="2"/>
      <c r="Z53" s="6">
        <f t="shared" si="7"/>
        <v>0.52838410596026497</v>
      </c>
    </row>
    <row r="54" spans="1:26" s="70" customFormat="1" ht="15" hidden="1" customHeight="1" outlineLevel="2" x14ac:dyDescent="0.3">
      <c r="A54" s="26"/>
      <c r="B54" s="12" t="str">
        <f>CONCATENATE("          ","6279"," - ","GENERAL EXPENSE")</f>
        <v xml:space="preserve">          6279 - GENERAL EXPENSE</v>
      </c>
      <c r="C54" s="12"/>
      <c r="D54" s="8"/>
      <c r="E54" s="3"/>
      <c r="F54" s="7">
        <f t="shared" ref="F54:F71" si="8">IF(D$12=0,0,D54/D$12)</f>
        <v>0</v>
      </c>
      <c r="G54" s="3"/>
      <c r="H54" s="8"/>
      <c r="I54" s="3"/>
      <c r="J54" s="7">
        <f t="shared" ref="J54:J71" si="9">IF(H$12=0,0,H54/H$12)</f>
        <v>0</v>
      </c>
      <c r="K54" s="3"/>
      <c r="L54" s="8">
        <f t="shared" ref="L54:L71" si="10">+D54-H54</f>
        <v>0</v>
      </c>
      <c r="M54" s="3"/>
      <c r="N54" s="7">
        <f t="shared" ref="N54:N71" si="11">IF(H54=0,0,L54/H54)</f>
        <v>0</v>
      </c>
      <c r="O54" s="12"/>
      <c r="P54" s="8">
        <v>1153.93</v>
      </c>
      <c r="Q54" s="3"/>
      <c r="R54" s="7">
        <f t="shared" ref="R54:R71" si="12">IF(P$12=0,0,P54/P$12)</f>
        <v>4.4819064094761177E-2</v>
      </c>
      <c r="S54" s="3"/>
      <c r="T54" s="8">
        <v>755</v>
      </c>
      <c r="U54" s="3"/>
      <c r="V54" s="7">
        <f t="shared" ref="V54:V71" si="13">IF(T$12=0,0,T54/T$12)</f>
        <v>8.6405200334176407E-3</v>
      </c>
      <c r="W54" s="3"/>
      <c r="X54" s="8">
        <f t="shared" ref="X54:X71" si="14">+P54-T54</f>
        <v>398.93000000000006</v>
      </c>
      <c r="Y54" s="3"/>
      <c r="Z54" s="7">
        <f t="shared" ref="Z54:Z71" si="15">IF(T54=0,0,X54/T54)</f>
        <v>0.52838410596026497</v>
      </c>
    </row>
    <row r="55" spans="1:26" s="69" customFormat="1" ht="15" customHeight="1" outlineLevel="1" collapsed="1" x14ac:dyDescent="0.3">
      <c r="A55" s="25"/>
      <c r="B55" s="14" t="str">
        <f>CONCATENATE("     ","Repair and Maintenance                            ")</f>
        <v xml:space="preserve">     Repair and Maintenance                            </v>
      </c>
      <c r="C55" s="14"/>
      <c r="D55" s="2">
        <f>SUM(OSRRefD22_7x_0)</f>
        <v>1570.67</v>
      </c>
      <c r="E55" s="2"/>
      <c r="F55" s="6">
        <f t="shared" si="8"/>
        <v>6.1005398422537362E-2</v>
      </c>
      <c r="G55" s="2"/>
      <c r="H55" s="2">
        <f>SUM(OSRRefH22_7x_0)</f>
        <v>115</v>
      </c>
      <c r="I55" s="2"/>
      <c r="J55" s="6">
        <f t="shared" si="9"/>
        <v>3.9144938389270882E-3</v>
      </c>
      <c r="K55" s="2"/>
      <c r="L55" s="2">
        <f t="shared" si="10"/>
        <v>1455.67</v>
      </c>
      <c r="M55" s="2"/>
      <c r="N55" s="6">
        <f t="shared" si="11"/>
        <v>12.658000000000001</v>
      </c>
      <c r="O55" s="14"/>
      <c r="P55" s="2">
        <f>SUM(OSRRefP22_7x_0)</f>
        <v>1668.5</v>
      </c>
      <c r="Q55" s="2"/>
      <c r="R55" s="6">
        <f t="shared" si="12"/>
        <v>6.4805151475487266E-2</v>
      </c>
      <c r="S55" s="2"/>
      <c r="T55" s="2">
        <f>SUM(OSRRefT22_7x_0)</f>
        <v>1646</v>
      </c>
      <c r="U55" s="2"/>
      <c r="V55" s="6">
        <f t="shared" si="13"/>
        <v>1.883747811258998E-2</v>
      </c>
      <c r="W55" s="2"/>
      <c r="X55" s="2">
        <f t="shared" si="14"/>
        <v>22.5</v>
      </c>
      <c r="Y55" s="2"/>
      <c r="Z55" s="6">
        <f t="shared" si="15"/>
        <v>1.3669501822600244E-2</v>
      </c>
    </row>
    <row r="56" spans="1:26" s="70" customFormat="1" ht="15" hidden="1" customHeight="1" outlineLevel="2" x14ac:dyDescent="0.3">
      <c r="A56" s="26"/>
      <c r="B56" s="12" t="str">
        <f>CONCATENATE("          ","6373"," - ","MAINTENANCE CONTRACTS")</f>
        <v xml:space="preserve">          6373 - MAINTENANCE CONTRACTS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97.83</v>
      </c>
      <c r="Q56" s="3"/>
      <c r="R56" s="7">
        <f t="shared" si="12"/>
        <v>3.7997530529499065E-3</v>
      </c>
      <c r="S56" s="3"/>
      <c r="T56" s="8">
        <v>726</v>
      </c>
      <c r="U56" s="3"/>
      <c r="V56" s="7">
        <f t="shared" si="13"/>
        <v>8.3086325089552406E-3</v>
      </c>
      <c r="W56" s="3"/>
      <c r="X56" s="8">
        <f t="shared" si="14"/>
        <v>-628.16999999999996</v>
      </c>
      <c r="Y56" s="3"/>
      <c r="Z56" s="7">
        <f t="shared" si="15"/>
        <v>-0.86524793388429744</v>
      </c>
    </row>
    <row r="57" spans="1:26" s="70" customFormat="1" ht="15" hidden="1" customHeight="1" outlineLevel="2" x14ac:dyDescent="0.3">
      <c r="A57" s="26"/>
      <c r="B57" s="12" t="str">
        <f>CONCATENATE("          ","6375"," - ","OUTSIDE REPAIRS &amp; MAINTENANCE")</f>
        <v xml:space="preserve">          6375 - OUTSIDE REPAIRS &amp; MAINTENANCE</v>
      </c>
      <c r="C57" s="12"/>
      <c r="D57" s="8">
        <v>1570.67</v>
      </c>
      <c r="E57" s="3"/>
      <c r="F57" s="7">
        <f t="shared" si="8"/>
        <v>6.1005398422537362E-2</v>
      </c>
      <c r="G57" s="3"/>
      <c r="H57" s="8">
        <v>115</v>
      </c>
      <c r="I57" s="3"/>
      <c r="J57" s="7">
        <f t="shared" si="9"/>
        <v>3.9144938389270882E-3</v>
      </c>
      <c r="K57" s="3"/>
      <c r="L57" s="8">
        <f t="shared" si="10"/>
        <v>1455.67</v>
      </c>
      <c r="M57" s="3"/>
      <c r="N57" s="7">
        <f t="shared" si="11"/>
        <v>12.658000000000001</v>
      </c>
      <c r="O57" s="12"/>
      <c r="P57" s="8">
        <v>1570.67</v>
      </c>
      <c r="Q57" s="3"/>
      <c r="R57" s="7">
        <f t="shared" si="12"/>
        <v>6.1005398422537362E-2</v>
      </c>
      <c r="S57" s="3"/>
      <c r="T57" s="8">
        <v>920</v>
      </c>
      <c r="U57" s="3"/>
      <c r="V57" s="7">
        <f t="shared" si="13"/>
        <v>1.0528845603634741E-2</v>
      </c>
      <c r="W57" s="3"/>
      <c r="X57" s="8">
        <f t="shared" si="14"/>
        <v>650.67000000000007</v>
      </c>
      <c r="Y57" s="3"/>
      <c r="Z57" s="7">
        <f t="shared" si="15"/>
        <v>0.70725000000000005</v>
      </c>
    </row>
    <row r="58" spans="1:26" s="69" customFormat="1" ht="15" customHeight="1" outlineLevel="1" collapsed="1" x14ac:dyDescent="0.3">
      <c r="A58" s="25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2644</v>
      </c>
      <c r="I58" s="2"/>
      <c r="J58" s="6">
        <f t="shared" si="9"/>
        <v>8.9999319218462798E-2</v>
      </c>
      <c r="K58" s="2"/>
      <c r="L58" s="2">
        <f t="shared" si="10"/>
        <v>-2644</v>
      </c>
      <c r="M58" s="2"/>
      <c r="N58" s="6">
        <f t="shared" si="11"/>
        <v>-1</v>
      </c>
      <c r="O58" s="14"/>
      <c r="P58" s="2">
        <f>SUM(OSRRefP22_8x_0)</f>
        <v>0</v>
      </c>
      <c r="Q58" s="2"/>
      <c r="R58" s="6">
        <f t="shared" si="12"/>
        <v>0</v>
      </c>
      <c r="S58" s="2"/>
      <c r="T58" s="2">
        <f>SUM(OSRRefT22_8x_0)</f>
        <v>7865</v>
      </c>
      <c r="U58" s="2"/>
      <c r="V58" s="6">
        <f t="shared" si="13"/>
        <v>9.001018551368177E-2</v>
      </c>
      <c r="W58" s="2"/>
      <c r="X58" s="2">
        <f t="shared" si="14"/>
        <v>-7865</v>
      </c>
      <c r="Y58" s="2"/>
      <c r="Z58" s="6">
        <f t="shared" si="15"/>
        <v>-1</v>
      </c>
    </row>
    <row r="59" spans="1:26" s="70" customFormat="1" ht="15" hidden="1" customHeight="1" outlineLevel="2" x14ac:dyDescent="0.3">
      <c r="A59" s="26"/>
      <c r="B59" s="12" t="str">
        <f>CONCATENATE("          ","6259"," - ","ROYALTY &amp; COMMISSIONS")</f>
        <v xml:space="preserve">          6259 - ROYALTY &amp; COMMISSIONS</v>
      </c>
      <c r="C59" s="12"/>
      <c r="D59" s="8"/>
      <c r="E59" s="3"/>
      <c r="F59" s="7">
        <f t="shared" si="8"/>
        <v>0</v>
      </c>
      <c r="G59" s="3"/>
      <c r="H59" s="8">
        <v>2644</v>
      </c>
      <c r="I59" s="3"/>
      <c r="J59" s="7">
        <f t="shared" si="9"/>
        <v>8.9999319218462798E-2</v>
      </c>
      <c r="K59" s="3"/>
      <c r="L59" s="8">
        <f t="shared" si="10"/>
        <v>-2644</v>
      </c>
      <c r="M59" s="3"/>
      <c r="N59" s="7">
        <f t="shared" si="11"/>
        <v>-1</v>
      </c>
      <c r="O59" s="12"/>
      <c r="P59" s="8"/>
      <c r="Q59" s="3"/>
      <c r="R59" s="7">
        <f t="shared" si="12"/>
        <v>0</v>
      </c>
      <c r="S59" s="3"/>
      <c r="T59" s="8">
        <v>7865</v>
      </c>
      <c r="U59" s="3"/>
      <c r="V59" s="7">
        <f t="shared" si="13"/>
        <v>9.001018551368177E-2</v>
      </c>
      <c r="W59" s="3"/>
      <c r="X59" s="8">
        <f t="shared" si="14"/>
        <v>-7865</v>
      </c>
      <c r="Y59" s="3"/>
      <c r="Z59" s="7">
        <f t="shared" si="15"/>
        <v>-1</v>
      </c>
    </row>
    <row r="60" spans="1:26" s="69" customFormat="1" ht="15" customHeight="1" outlineLevel="1" collapsed="1" x14ac:dyDescent="0.3">
      <c r="A60" s="25"/>
      <c r="B60" s="14" t="str">
        <f>CONCATENATE("     ","Services                                          ")</f>
        <v xml:space="preserve">     Services                                          </v>
      </c>
      <c r="C60" s="14"/>
      <c r="D60" s="2">
        <f>SUM(OSRRefD22_9x_0)</f>
        <v>103.2</v>
      </c>
      <c r="E60" s="2"/>
      <c r="F60" s="6">
        <f t="shared" si="8"/>
        <v>4.0083258209591167E-3</v>
      </c>
      <c r="G60" s="2"/>
      <c r="H60" s="2">
        <f>SUM(OSRRefH22_9x_0)</f>
        <v>100</v>
      </c>
      <c r="I60" s="2"/>
      <c r="J60" s="6">
        <f t="shared" si="9"/>
        <v>3.4039076860235551E-3</v>
      </c>
      <c r="K60" s="2"/>
      <c r="L60" s="2">
        <f t="shared" si="10"/>
        <v>3.2000000000000028</v>
      </c>
      <c r="M60" s="2"/>
      <c r="N60" s="6">
        <f t="shared" si="11"/>
        <v>3.2000000000000028E-2</v>
      </c>
      <c r="O60" s="14"/>
      <c r="P60" s="2">
        <f>SUM(OSRRefP22_9x_0)</f>
        <v>206.4</v>
      </c>
      <c r="Q60" s="2"/>
      <c r="R60" s="6">
        <f t="shared" si="12"/>
        <v>8.0166516419182335E-3</v>
      </c>
      <c r="S60" s="2"/>
      <c r="T60" s="2">
        <f>SUM(OSRRefT22_9x_0)</f>
        <v>700</v>
      </c>
      <c r="U60" s="2"/>
      <c r="V60" s="6">
        <f t="shared" si="13"/>
        <v>8.0110781766786071E-3</v>
      </c>
      <c r="W60" s="2"/>
      <c r="X60" s="2">
        <f t="shared" si="14"/>
        <v>-493.6</v>
      </c>
      <c r="Y60" s="2"/>
      <c r="Z60" s="6">
        <f t="shared" si="15"/>
        <v>-0.70514285714285718</v>
      </c>
    </row>
    <row r="61" spans="1:26" s="70" customFormat="1" ht="15" hidden="1" customHeight="1" outlineLevel="2" x14ac:dyDescent="0.3">
      <c r="A61" s="26"/>
      <c r="B61" s="12" t="str">
        <f>CONCATENATE("          ","6282"," - ","JANITORIAL/EXTERMINATOR EXPENS")</f>
        <v xml:space="preserve">          6282 - JANITORIAL/EXTERMINATOR EXPENS</v>
      </c>
      <c r="C61" s="12"/>
      <c r="D61" s="8"/>
      <c r="E61" s="3"/>
      <c r="F61" s="7">
        <f t="shared" si="8"/>
        <v>0</v>
      </c>
      <c r="G61" s="3"/>
      <c r="H61" s="8">
        <v>100</v>
      </c>
      <c r="I61" s="3"/>
      <c r="J61" s="7">
        <f t="shared" si="9"/>
        <v>3.4039076860235551E-3</v>
      </c>
      <c r="K61" s="3"/>
      <c r="L61" s="8">
        <f t="shared" si="10"/>
        <v>-100</v>
      </c>
      <c r="M61" s="3"/>
      <c r="N61" s="7">
        <f t="shared" si="11"/>
        <v>-1</v>
      </c>
      <c r="O61" s="12"/>
      <c r="P61" s="8"/>
      <c r="Q61" s="3"/>
      <c r="R61" s="7">
        <f t="shared" si="12"/>
        <v>0</v>
      </c>
      <c r="S61" s="3"/>
      <c r="T61" s="8">
        <v>700</v>
      </c>
      <c r="U61" s="3"/>
      <c r="V61" s="7">
        <f t="shared" si="13"/>
        <v>8.0110781766786071E-3</v>
      </c>
      <c r="W61" s="3"/>
      <c r="X61" s="8">
        <f t="shared" si="14"/>
        <v>-700</v>
      </c>
      <c r="Y61" s="3"/>
      <c r="Z61" s="7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","6285"," - ","JANITORIAL SERVICES")</f>
        <v xml:space="preserve">          6285 - JANITORIAL SERVICES</v>
      </c>
      <c r="C62" s="12"/>
      <c r="D62" s="8">
        <v>103.2</v>
      </c>
      <c r="E62" s="3"/>
      <c r="F62" s="7">
        <f t="shared" si="8"/>
        <v>4.0083258209591167E-3</v>
      </c>
      <c r="G62" s="3"/>
      <c r="H62" s="8"/>
      <c r="I62" s="3"/>
      <c r="J62" s="7">
        <f t="shared" si="9"/>
        <v>0</v>
      </c>
      <c r="K62" s="3"/>
      <c r="L62" s="8">
        <f t="shared" si="10"/>
        <v>103.2</v>
      </c>
      <c r="M62" s="3"/>
      <c r="N62" s="7">
        <f t="shared" si="11"/>
        <v>0</v>
      </c>
      <c r="O62" s="12"/>
      <c r="P62" s="8">
        <v>206.4</v>
      </c>
      <c r="Q62" s="3"/>
      <c r="R62" s="7">
        <f t="shared" si="12"/>
        <v>8.0166516419182335E-3</v>
      </c>
      <c r="S62" s="3"/>
      <c r="T62" s="8"/>
      <c r="U62" s="3"/>
      <c r="V62" s="7">
        <f t="shared" si="13"/>
        <v>0</v>
      </c>
      <c r="W62" s="3"/>
      <c r="X62" s="8">
        <f t="shared" si="14"/>
        <v>206.4</v>
      </c>
      <c r="Y62" s="3"/>
      <c r="Z62" s="7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SUM(OSRRefD22_10x_0)</f>
        <v>444.63</v>
      </c>
      <c r="E63" s="2"/>
      <c r="F63" s="6">
        <f t="shared" si="8"/>
        <v>1.7269592148963682E-2</v>
      </c>
      <c r="G63" s="2"/>
      <c r="H63" s="2">
        <f>SUM(OSRRefH22_10x_0)</f>
        <v>1100</v>
      </c>
      <c r="I63" s="2"/>
      <c r="J63" s="6">
        <f t="shared" si="9"/>
        <v>3.7442984546259106E-2</v>
      </c>
      <c r="K63" s="2"/>
      <c r="L63" s="2">
        <f t="shared" si="10"/>
        <v>-655.37</v>
      </c>
      <c r="M63" s="2"/>
      <c r="N63" s="6">
        <f t="shared" si="11"/>
        <v>-0.59579090909090915</v>
      </c>
      <c r="O63" s="14"/>
      <c r="P63" s="2">
        <f>SUM(OSRRefP22_10x_0)</f>
        <v>1684.5700000000002</v>
      </c>
      <c r="Q63" s="2"/>
      <c r="R63" s="6">
        <f t="shared" si="12"/>
        <v>6.5429316164855617E-2</v>
      </c>
      <c r="S63" s="2"/>
      <c r="T63" s="2">
        <f>SUM(OSRRefT22_10x_0)</f>
        <v>7100</v>
      </c>
      <c r="U63" s="2"/>
      <c r="V63" s="6">
        <f t="shared" si="13"/>
        <v>8.1255221506311578E-2</v>
      </c>
      <c r="W63" s="2"/>
      <c r="X63" s="2">
        <f t="shared" si="14"/>
        <v>-5415.43</v>
      </c>
      <c r="Y63" s="2"/>
      <c r="Z63" s="6">
        <f t="shared" si="15"/>
        <v>-0.76273661971830986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1194.8900000000001</v>
      </c>
      <c r="Q64" s="3"/>
      <c r="R64" s="7">
        <f t="shared" si="12"/>
        <v>4.640996550587053E-2</v>
      </c>
      <c r="S64" s="3"/>
      <c r="T64" s="8"/>
      <c r="U64" s="3"/>
      <c r="V64" s="7">
        <f t="shared" si="13"/>
        <v>0</v>
      </c>
      <c r="W64" s="3"/>
      <c r="X64" s="8">
        <f t="shared" si="14"/>
        <v>1194.8900000000001</v>
      </c>
      <c r="Y64" s="3"/>
      <c r="Z64" s="7">
        <f t="shared" si="15"/>
        <v>0</v>
      </c>
    </row>
    <row r="65" spans="1:26" s="70" customFormat="1" ht="15" hidden="1" customHeight="1" outlineLevel="2" x14ac:dyDescent="0.3">
      <c r="A65" s="26"/>
      <c r="B65" s="12" t="str">
        <f>CONCATENATE("          ","6237"," - ","JANITORIAL SUPPLIES")</f>
        <v xml:space="preserve">          6237 - JANITORIAL SUPPLIES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38.340000000000003</v>
      </c>
      <c r="Q65" s="3"/>
      <c r="R65" s="7">
        <f t="shared" si="12"/>
        <v>1.4891396509260904E-3</v>
      </c>
      <c r="S65" s="3"/>
      <c r="T65" s="8"/>
      <c r="U65" s="3"/>
      <c r="V65" s="7">
        <f t="shared" si="13"/>
        <v>0</v>
      </c>
      <c r="W65" s="3"/>
      <c r="X65" s="8">
        <f t="shared" si="14"/>
        <v>38.340000000000003</v>
      </c>
      <c r="Y65" s="3"/>
      <c r="Z65" s="7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","6241"," - ","OFFICE EXPENSE")</f>
        <v xml:space="preserve">          6241 - OFFICE EXPENSE</v>
      </c>
      <c r="C66" s="12"/>
      <c r="D66" s="8">
        <v>13.23</v>
      </c>
      <c r="E66" s="3"/>
      <c r="F66" s="7">
        <f t="shared" si="8"/>
        <v>5.1385804855900302E-4</v>
      </c>
      <c r="G66" s="3"/>
      <c r="H66" s="8"/>
      <c r="I66" s="3"/>
      <c r="J66" s="7">
        <f t="shared" si="9"/>
        <v>0</v>
      </c>
      <c r="K66" s="3"/>
      <c r="L66" s="8">
        <f t="shared" si="10"/>
        <v>13.23</v>
      </c>
      <c r="M66" s="3"/>
      <c r="N66" s="7">
        <f t="shared" si="11"/>
        <v>0</v>
      </c>
      <c r="O66" s="12"/>
      <c r="P66" s="8">
        <v>19.940000000000001</v>
      </c>
      <c r="Q66" s="3"/>
      <c r="R66" s="7">
        <f t="shared" si="12"/>
        <v>7.7447690765430996E-4</v>
      </c>
      <c r="S66" s="3"/>
      <c r="T66" s="8"/>
      <c r="U66" s="3"/>
      <c r="V66" s="7">
        <f t="shared" si="13"/>
        <v>0</v>
      </c>
      <c r="W66" s="3"/>
      <c r="X66" s="8">
        <f t="shared" si="14"/>
        <v>19.940000000000001</v>
      </c>
      <c r="Y66" s="3"/>
      <c r="Z66" s="7">
        <f t="shared" si="15"/>
        <v>0</v>
      </c>
    </row>
    <row r="67" spans="1:26" s="70" customFormat="1" ht="15" hidden="1" customHeight="1" outlineLevel="2" x14ac:dyDescent="0.3">
      <c r="A67" s="26"/>
      <c r="B67" s="12" t="str">
        <f>CONCATENATE("          ","6247"," - ","STORE SUPPLIES")</f>
        <v xml:space="preserve">          6247 - STORE SUPPLIES</v>
      </c>
      <c r="C67" s="12"/>
      <c r="D67" s="8">
        <v>431.4</v>
      </c>
      <c r="E67" s="3"/>
      <c r="F67" s="7">
        <f t="shared" si="8"/>
        <v>1.6755734100404675E-2</v>
      </c>
      <c r="G67" s="3"/>
      <c r="H67" s="8">
        <v>1100</v>
      </c>
      <c r="I67" s="3"/>
      <c r="J67" s="7">
        <f t="shared" si="9"/>
        <v>3.7442984546259106E-2</v>
      </c>
      <c r="K67" s="3"/>
      <c r="L67" s="8">
        <f t="shared" si="10"/>
        <v>-668.6</v>
      </c>
      <c r="M67" s="3"/>
      <c r="N67" s="7">
        <f t="shared" si="11"/>
        <v>-0.60781818181818181</v>
      </c>
      <c r="O67" s="12"/>
      <c r="P67" s="8">
        <v>431.4</v>
      </c>
      <c r="Q67" s="3"/>
      <c r="R67" s="7">
        <f t="shared" si="12"/>
        <v>1.6755734100404675E-2</v>
      </c>
      <c r="S67" s="3"/>
      <c r="T67" s="8">
        <v>7100</v>
      </c>
      <c r="U67" s="3"/>
      <c r="V67" s="7">
        <f t="shared" si="13"/>
        <v>8.1255221506311578E-2</v>
      </c>
      <c r="W67" s="3"/>
      <c r="X67" s="8">
        <f t="shared" si="14"/>
        <v>-6668.6</v>
      </c>
      <c r="Y67" s="3"/>
      <c r="Z67" s="7">
        <f t="shared" si="15"/>
        <v>-0.93923943661971832</v>
      </c>
    </row>
    <row r="68" spans="1:26" s="69" customFormat="1" ht="15" customHeight="1" outlineLevel="1" collapsed="1" x14ac:dyDescent="0.3">
      <c r="A68" s="25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SUM(OSRRefD22_11x_0)</f>
        <v>51.5</v>
      </c>
      <c r="E68" s="2"/>
      <c r="F68" s="6">
        <f t="shared" si="8"/>
        <v>2.0002788738313418E-3</v>
      </c>
      <c r="G68" s="2"/>
      <c r="H68" s="2">
        <f>SUM(OSRRefH22_11x_0)</f>
        <v>53</v>
      </c>
      <c r="I68" s="2"/>
      <c r="J68" s="6">
        <f t="shared" si="9"/>
        <v>1.8040710735924841E-3</v>
      </c>
      <c r="K68" s="2"/>
      <c r="L68" s="2">
        <f t="shared" si="10"/>
        <v>-1.5</v>
      </c>
      <c r="M68" s="2"/>
      <c r="N68" s="6">
        <f t="shared" si="11"/>
        <v>-2.8301886792452831E-2</v>
      </c>
      <c r="O68" s="14"/>
      <c r="P68" s="2">
        <f>SUM(OSRRefP22_11x_0)</f>
        <v>338.5</v>
      </c>
      <c r="Q68" s="2"/>
      <c r="R68" s="6">
        <f t="shared" si="12"/>
        <v>1.3147464054211831E-2</v>
      </c>
      <c r="S68" s="2"/>
      <c r="T68" s="2">
        <f>SUM(OSRRefT22_11x_0)</f>
        <v>424</v>
      </c>
      <c r="U68" s="2"/>
      <c r="V68" s="6">
        <f t="shared" si="13"/>
        <v>4.8524244955881852E-3</v>
      </c>
      <c r="W68" s="2"/>
      <c r="X68" s="2">
        <f t="shared" si="14"/>
        <v>-85.5</v>
      </c>
      <c r="Y68" s="2"/>
      <c r="Z68" s="6">
        <f t="shared" si="15"/>
        <v>-0.20165094339622641</v>
      </c>
    </row>
    <row r="69" spans="1:26" s="70" customFormat="1" ht="15" hidden="1" customHeight="1" outlineLevel="2" x14ac:dyDescent="0.3">
      <c r="A69" s="26"/>
      <c r="B69" s="12" t="str">
        <f>CONCATENATE("          ","6309"," - ","TELEPHONE")</f>
        <v xml:space="preserve">          6309 - TELEPHONE</v>
      </c>
      <c r="C69" s="12"/>
      <c r="D69" s="8">
        <v>51.5</v>
      </c>
      <c r="E69" s="3"/>
      <c r="F69" s="7">
        <f t="shared" si="8"/>
        <v>2.0002788738313418E-3</v>
      </c>
      <c r="G69" s="3"/>
      <c r="H69" s="8">
        <v>53</v>
      </c>
      <c r="I69" s="3"/>
      <c r="J69" s="7">
        <f t="shared" si="9"/>
        <v>1.8040710735924841E-3</v>
      </c>
      <c r="K69" s="3"/>
      <c r="L69" s="8">
        <f t="shared" si="10"/>
        <v>-1.5</v>
      </c>
      <c r="M69" s="3"/>
      <c r="N69" s="7">
        <f t="shared" si="11"/>
        <v>-2.8301886792452831E-2</v>
      </c>
      <c r="O69" s="12"/>
      <c r="P69" s="8">
        <v>338.5</v>
      </c>
      <c r="Q69" s="3"/>
      <c r="R69" s="7">
        <f t="shared" si="12"/>
        <v>1.3147464054211831E-2</v>
      </c>
      <c r="S69" s="3"/>
      <c r="T69" s="8">
        <v>424</v>
      </c>
      <c r="U69" s="3"/>
      <c r="V69" s="7">
        <f t="shared" si="13"/>
        <v>4.8524244955881852E-3</v>
      </c>
      <c r="W69" s="3"/>
      <c r="X69" s="8">
        <f t="shared" si="14"/>
        <v>-85.5</v>
      </c>
      <c r="Y69" s="3"/>
      <c r="Z69" s="7">
        <f t="shared" si="15"/>
        <v>-0.20165094339622641</v>
      </c>
    </row>
    <row r="70" spans="1:26" s="69" customFormat="1" ht="15" customHeight="1" outlineLevel="1" collapsed="1" x14ac:dyDescent="0.3">
      <c r="A70" s="25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SUM(OSRRefD22_12x_0)</f>
        <v>80</v>
      </c>
      <c r="E70" s="2"/>
      <c r="F70" s="6">
        <f t="shared" si="8"/>
        <v>3.1072293185729584E-3</v>
      </c>
      <c r="G70" s="2"/>
      <c r="H70" s="2">
        <f>SUM(OSRRefH22_12x_0)</f>
        <v>0</v>
      </c>
      <c r="I70" s="2"/>
      <c r="J70" s="6">
        <f t="shared" si="9"/>
        <v>0</v>
      </c>
      <c r="K70" s="2"/>
      <c r="L70" s="2">
        <f t="shared" si="10"/>
        <v>80</v>
      </c>
      <c r="M70" s="2"/>
      <c r="N70" s="6">
        <f t="shared" si="11"/>
        <v>0</v>
      </c>
      <c r="O70" s="14"/>
      <c r="P70" s="2">
        <f>SUM(OSRRefP22_12x_0)</f>
        <v>80</v>
      </c>
      <c r="Q70" s="2"/>
      <c r="R70" s="6">
        <f t="shared" si="12"/>
        <v>3.1072293185729584E-3</v>
      </c>
      <c r="S70" s="2"/>
      <c r="T70" s="2">
        <f>SUM(OSRRefT22_12x_0)</f>
        <v>150</v>
      </c>
      <c r="U70" s="2"/>
      <c r="V70" s="6">
        <f t="shared" si="13"/>
        <v>1.716659609288273E-3</v>
      </c>
      <c r="W70" s="2"/>
      <c r="X70" s="2">
        <f t="shared" si="14"/>
        <v>-70</v>
      </c>
      <c r="Y70" s="2"/>
      <c r="Z70" s="6">
        <f t="shared" si="15"/>
        <v>-0.46666666666666667</v>
      </c>
    </row>
    <row r="71" spans="1:26" s="70" customFormat="1" ht="15" hidden="1" customHeight="1" outlineLevel="2" x14ac:dyDescent="0.3">
      <c r="A71" s="26"/>
      <c r="B71" s="12" t="str">
        <f>CONCATENATE("          ","6376"," - ","TRAINING")</f>
        <v xml:space="preserve">          6376 - TRAINING</v>
      </c>
      <c r="C71" s="12"/>
      <c r="D71" s="8">
        <v>80</v>
      </c>
      <c r="E71" s="3"/>
      <c r="F71" s="7">
        <f t="shared" si="8"/>
        <v>3.1072293185729584E-3</v>
      </c>
      <c r="G71" s="3"/>
      <c r="H71" s="8"/>
      <c r="I71" s="3"/>
      <c r="J71" s="7">
        <f t="shared" si="9"/>
        <v>0</v>
      </c>
      <c r="K71" s="3"/>
      <c r="L71" s="8">
        <f t="shared" si="10"/>
        <v>80</v>
      </c>
      <c r="M71" s="3"/>
      <c r="N71" s="7">
        <f t="shared" si="11"/>
        <v>0</v>
      </c>
      <c r="O71" s="12"/>
      <c r="P71" s="8">
        <v>80</v>
      </c>
      <c r="Q71" s="3"/>
      <c r="R71" s="7">
        <f t="shared" si="12"/>
        <v>3.1072293185729584E-3</v>
      </c>
      <c r="S71" s="3"/>
      <c r="T71" s="8">
        <v>150</v>
      </c>
      <c r="U71" s="3"/>
      <c r="V71" s="7">
        <f t="shared" si="13"/>
        <v>1.716659609288273E-3</v>
      </c>
      <c r="W71" s="3"/>
      <c r="X71" s="8">
        <f t="shared" si="14"/>
        <v>-70</v>
      </c>
      <c r="Y71" s="3"/>
      <c r="Z71" s="7">
        <f t="shared" si="15"/>
        <v>-0.46666666666666667</v>
      </c>
    </row>
    <row r="72" spans="1:26" s="65" customFormat="1" ht="15" customHeight="1" x14ac:dyDescent="0.3">
      <c r="A72" s="35"/>
      <c r="B72" s="35"/>
      <c r="C72" s="35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35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63" customFormat="1" ht="15" customHeight="1" x14ac:dyDescent="0.3">
      <c r="A73" s="11"/>
      <c r="B73" s="27" t="s">
        <v>291</v>
      </c>
      <c r="C73" s="11"/>
      <c r="D73" s="5">
        <f>SUM(0)</f>
        <v>0</v>
      </c>
      <c r="E73" s="5"/>
      <c r="F73" s="13">
        <f>IF(D$12=0,0,D73/D$12)</f>
        <v>0</v>
      </c>
      <c r="G73" s="5"/>
      <c r="H73" s="5">
        <f>SUM(0)</f>
        <v>0</v>
      </c>
      <c r="I73" s="5"/>
      <c r="J73" s="13">
        <f>IF(H$12=0,0,H73/H$12)</f>
        <v>0</v>
      </c>
      <c r="K73" s="5"/>
      <c r="L73" s="5">
        <f>+D73-H73</f>
        <v>0</v>
      </c>
      <c r="M73" s="5"/>
      <c r="N73" s="13">
        <f>IF(H73=0,0,L73/H73)</f>
        <v>0</v>
      </c>
      <c r="O73" s="11"/>
      <c r="P73" s="5">
        <f>SUM(0)</f>
        <v>0</v>
      </c>
      <c r="Q73" s="5"/>
      <c r="R73" s="13">
        <f>IF(P$12=0,0,P73/P$12)</f>
        <v>0</v>
      </c>
      <c r="S73" s="5"/>
      <c r="T73" s="5">
        <f>SUM(0)</f>
        <v>0</v>
      </c>
      <c r="U73" s="5"/>
      <c r="V73" s="13">
        <f>IF(T$12=0,0,T73/T$12)</f>
        <v>0</v>
      </c>
      <c r="W73" s="5"/>
      <c r="X73" s="5">
        <f>+P73-T73</f>
        <v>0</v>
      </c>
      <c r="Y73" s="5"/>
      <c r="Z73" s="13">
        <f>IF(T73=0,0,X73/T73)</f>
        <v>0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8" t="s">
        <v>292</v>
      </c>
      <c r="C75" s="28"/>
      <c r="D75" s="21">
        <f>+D20-D22+D73</f>
        <v>-1950.3900000000012</v>
      </c>
      <c r="E75" s="15"/>
      <c r="F75" s="22">
        <f>IF(D$12=0,0,D75/D$12)</f>
        <v>-7.5753862383143952E-2</v>
      </c>
      <c r="G75" s="15"/>
      <c r="H75" s="21">
        <f>+H20-H22+H73</f>
        <v>3862.8253810000006</v>
      </c>
      <c r="I75" s="15"/>
      <c r="J75" s="22">
        <f>IF(H$12=0,0,H75/H$12)</f>
        <v>0.13148701004152769</v>
      </c>
      <c r="K75" s="16"/>
      <c r="L75" s="21">
        <f>+D75-H75</f>
        <v>-5813.2153810000018</v>
      </c>
      <c r="M75" s="16"/>
      <c r="N75" s="22">
        <f>IF(H75=0,0,L75/H75)</f>
        <v>-1.5049128054282093</v>
      </c>
      <c r="O75" s="27"/>
      <c r="P75" s="21">
        <f>+P20-P22+P73</f>
        <v>-30558.720000000008</v>
      </c>
      <c r="Q75" s="15"/>
      <c r="R75" s="22">
        <f>IF(P$12=0,0,P75/P$12)</f>
        <v>-1.1869118840257733</v>
      </c>
      <c r="S75" s="15"/>
      <c r="T75" s="21">
        <f>+T20-T22+T73</f>
        <v>-14753.67019425</v>
      </c>
      <c r="U75" s="15"/>
      <c r="V75" s="22">
        <f>IF(T$12=0,0,T75/T$12)</f>
        <v>-0.1688468647415283</v>
      </c>
      <c r="W75" s="16"/>
      <c r="X75" s="21">
        <f>+P75-T75</f>
        <v>-15805.049805750008</v>
      </c>
      <c r="Y75" s="16"/>
      <c r="Z75" s="22">
        <f>IF(T75=0,0,X75/T75)</f>
        <v>1.0712622417105246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3213.74</v>
      </c>
      <c r="E77" s="5"/>
      <c r="F77" s="13">
        <f>IF(D$12=0,0,D77/D$12)</f>
        <v>0.12482283937838323</v>
      </c>
      <c r="G77" s="5"/>
      <c r="H77" s="5">
        <v>3415</v>
      </c>
      <c r="I77" s="5"/>
      <c r="J77" s="13">
        <f>IF(H$12=0,0,H77/H$12)</f>
        <v>0.1162434474777044</v>
      </c>
      <c r="K77" s="5"/>
      <c r="L77" s="5">
        <f>+D77-H77</f>
        <v>-201.26000000000022</v>
      </c>
      <c r="M77" s="5"/>
      <c r="N77" s="13">
        <f>IF(H77=0,0,L77/H77)</f>
        <v>-5.8934114202049845E-2</v>
      </c>
      <c r="O77" s="11"/>
      <c r="P77" s="5">
        <v>3213.74</v>
      </c>
      <c r="Q77" s="5"/>
      <c r="R77" s="13">
        <f>IF(P$12=0,0,P77/P$12)</f>
        <v>0.12482283937838323</v>
      </c>
      <c r="S77" s="5"/>
      <c r="T77" s="5">
        <v>10681</v>
      </c>
      <c r="U77" s="5"/>
      <c r="V77" s="13">
        <f>IF(T$12=0,0,T77/T$12)</f>
        <v>0.12223760857872029</v>
      </c>
      <c r="W77" s="5"/>
      <c r="X77" s="5">
        <f>+P77-T77</f>
        <v>-7467.26</v>
      </c>
      <c r="Y77" s="5"/>
      <c r="Z77" s="13">
        <f>IF(T77=0,0,X77/T77)</f>
        <v>-0.69911618762288175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294</v>
      </c>
      <c r="C79" s="28"/>
      <c r="D79" s="33">
        <f>+D75-D77</f>
        <v>-5164.130000000001</v>
      </c>
      <c r="E79" s="15"/>
      <c r="F79" s="32">
        <f>IF(D$12=0,0,D79/D$12)</f>
        <v>-0.20057670176152717</v>
      </c>
      <c r="G79" s="15"/>
      <c r="H79" s="33">
        <f>+H75-H77</f>
        <v>447.82538100000056</v>
      </c>
      <c r="I79" s="15"/>
      <c r="J79" s="32">
        <f>IF(H$12=0,0,H79/H$12)</f>
        <v>1.5243562563823289E-2</v>
      </c>
      <c r="K79" s="16"/>
      <c r="L79" s="33">
        <f>D79-H79</f>
        <v>-5611.9553810000016</v>
      </c>
      <c r="M79" s="16"/>
      <c r="N79" s="32">
        <f>IF(H79=0,0,L79/H79)</f>
        <v>-12.531570605641923</v>
      </c>
      <c r="O79" s="27"/>
      <c r="P79" s="33">
        <f>+P75-P77</f>
        <v>-33772.460000000006</v>
      </c>
      <c r="Q79" s="15"/>
      <c r="R79" s="32">
        <f>IF(P$12=0,0,P79/P$12)</f>
        <v>-1.3117347234041563</v>
      </c>
      <c r="S79" s="15"/>
      <c r="T79" s="33">
        <f>+T75-T77</f>
        <v>-25434.67019425</v>
      </c>
      <c r="U79" s="15"/>
      <c r="V79" s="32">
        <f>IF(T$12=0,0,T79/T$12)</f>
        <v>-0.29108447332024856</v>
      </c>
      <c r="W79" s="16"/>
      <c r="X79" s="33">
        <f>P79-T79</f>
        <v>-8337.7898057500061</v>
      </c>
      <c r="Y79" s="16"/>
      <c r="Z79" s="32">
        <f>IF(T79=0,0,X79/T79)</f>
        <v>0.32781198820635482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8" t="s">
        <v>297</v>
      </c>
      <c r="C82" s="28"/>
      <c r="D82" s="34">
        <f>SUM(D79:D81)</f>
        <v>-5164.130000000001</v>
      </c>
      <c r="E82" s="15"/>
      <c r="F82" s="30">
        <f>IF(D$12=0,0,D82/D$12)</f>
        <v>-0.20057670176152717</v>
      </c>
      <c r="G82" s="15"/>
      <c r="H82" s="34">
        <f>SUM(H79:H81)</f>
        <v>447.82538100000056</v>
      </c>
      <c r="I82" s="15"/>
      <c r="J82" s="30">
        <f>IF(H$12=0,0,H82/H$12)</f>
        <v>1.5243562563823289E-2</v>
      </c>
      <c r="K82" s="16"/>
      <c r="L82" s="34">
        <f>+D82-H82</f>
        <v>-5611.9553810000016</v>
      </c>
      <c r="M82" s="16"/>
      <c r="N82" s="30">
        <f>IF(H82=0,0,L82/H82)</f>
        <v>-12.531570605641923</v>
      </c>
      <c r="O82" s="27"/>
      <c r="P82" s="34">
        <f>SUM(P79:P81)</f>
        <v>-33772.460000000006</v>
      </c>
      <c r="Q82" s="15"/>
      <c r="R82" s="30">
        <f>IF(P$12=0,0,P82/P$12)</f>
        <v>-1.3117347234041563</v>
      </c>
      <c r="S82" s="15"/>
      <c r="T82" s="34">
        <f>SUM(T79:T81)</f>
        <v>-25434.67019425</v>
      </c>
      <c r="U82" s="15"/>
      <c r="V82" s="30">
        <f>IF(T$12=0,0,T82/T$12)</f>
        <v>-0.29108447332024856</v>
      </c>
      <c r="W82" s="16"/>
      <c r="X82" s="34">
        <f>+P82-T82</f>
        <v>-8337.7898057500061</v>
      </c>
      <c r="Y82" s="16"/>
      <c r="Z82" s="30">
        <f>IF(T82=0,0,X82/T82)</f>
        <v>0.32781198820635482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0"/>
      <c r="B84" s="57">
        <v>44634.883430555557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0"/>
      <c r="B85" s="56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0"/>
      <c r="B86" s="54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D131-5A7D-2D01-4C4E-A8025B5E6F09}">
  <sheetPr>
    <tabColor rgb="FF92D050"/>
    <outlinePr summaryBelow="0" summaryRight="0"/>
  </sheetPr>
  <dimension ref="A2:Z10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","325"," - ","Outpost C-Store")</f>
        <v>Department 325 - Outpost C-Store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46065.94</v>
      </c>
      <c r="E12" s="5"/>
      <c r="F12" s="13"/>
      <c r="G12" s="5"/>
      <c r="H12" s="5">
        <f>SUM(OSRRefH13x_0)</f>
        <v>67104</v>
      </c>
      <c r="I12" s="5"/>
      <c r="J12" s="13"/>
      <c r="K12" s="5"/>
      <c r="L12" s="5">
        <f>+D12-H12</f>
        <v>-21038.059999999998</v>
      </c>
      <c r="M12" s="5"/>
      <c r="N12" s="13">
        <f>IF(H12=0,0,L12/H12)</f>
        <v>-0.31351424654268001</v>
      </c>
      <c r="O12" s="11"/>
      <c r="P12" s="5">
        <f>SUM(OSRRefP13x_0)</f>
        <v>126608.18</v>
      </c>
      <c r="Q12" s="5"/>
      <c r="R12" s="13"/>
      <c r="S12" s="5"/>
      <c r="T12" s="5">
        <f>SUM(OSRRefT13x_0)</f>
        <v>197777</v>
      </c>
      <c r="U12" s="5"/>
      <c r="V12" s="13"/>
      <c r="W12" s="5"/>
      <c r="X12" s="5">
        <f>+P12-T12</f>
        <v>-71168.820000000007</v>
      </c>
      <c r="Y12" s="5"/>
      <c r="Z12" s="13">
        <f>IF(T12=0,0,X12/T12)</f>
        <v>-0.35984376343053037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--6818.73</f>
        <v>6818.73</v>
      </c>
      <c r="E13" s="3"/>
      <c r="F13" s="20"/>
      <c r="G13" s="3"/>
      <c r="H13" s="3">
        <v>11954</v>
      </c>
      <c r="I13" s="3"/>
      <c r="J13" s="20"/>
      <c r="K13" s="3"/>
      <c r="L13" s="3">
        <f>+D13-H13</f>
        <v>-5135.2700000000004</v>
      </c>
      <c r="M13" s="3"/>
      <c r="N13" s="20">
        <f>IF(H13=0,0,L13/H13)</f>
        <v>-0.42958591266521667</v>
      </c>
      <c r="O13" s="12"/>
      <c r="P13" s="3">
        <f>--20373.29</f>
        <v>20373.29</v>
      </c>
      <c r="Q13" s="3"/>
      <c r="R13" s="20"/>
      <c r="S13" s="3"/>
      <c r="T13" s="3">
        <v>35116</v>
      </c>
      <c r="U13" s="3"/>
      <c r="V13" s="20"/>
      <c r="W13" s="3"/>
      <c r="X13" s="3">
        <f>+P13-T13</f>
        <v>-14742.71</v>
      </c>
      <c r="Y13" s="3"/>
      <c r="Z13" s="20">
        <f>IF(T13=0,0,X13/T13)</f>
        <v>-0.41982885294452671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--39247.21</f>
        <v>39247.21</v>
      </c>
      <c r="E14" s="3"/>
      <c r="F14" s="20"/>
      <c r="G14" s="3"/>
      <c r="H14" s="3">
        <v>55150</v>
      </c>
      <c r="I14" s="3"/>
      <c r="J14" s="20"/>
      <c r="K14" s="3"/>
      <c r="L14" s="3">
        <f>+D14-H14</f>
        <v>-15902.79</v>
      </c>
      <c r="M14" s="3"/>
      <c r="N14" s="20">
        <f>IF(H14=0,0,L14/H14)</f>
        <v>-0.28835521305530376</v>
      </c>
      <c r="O14" s="12"/>
      <c r="P14" s="3">
        <f>--106234.89</f>
        <v>106234.89</v>
      </c>
      <c r="Q14" s="3"/>
      <c r="R14" s="20"/>
      <c r="S14" s="3"/>
      <c r="T14" s="3">
        <v>162661</v>
      </c>
      <c r="U14" s="3"/>
      <c r="V14" s="20"/>
      <c r="W14" s="3"/>
      <c r="X14" s="3">
        <f>+P14-T14</f>
        <v>-56426.11</v>
      </c>
      <c r="Y14" s="3"/>
      <c r="Z14" s="20">
        <f>IF(T14=0,0,X14/T14)</f>
        <v>-0.34689390818942462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7" t="s">
        <v>288</v>
      </c>
      <c r="C16" s="11"/>
      <c r="D16" s="5">
        <f>SUM(OSRRefD16x_0)</f>
        <v>22687.94</v>
      </c>
      <c r="E16" s="5"/>
      <c r="F16" s="13">
        <f>IF(D$12=0,0,D16/D$12)</f>
        <v>0.49251008445719324</v>
      </c>
      <c r="G16" s="5"/>
      <c r="H16" s="5">
        <f>SUM(OSRRefH16x_0)</f>
        <v>33047</v>
      </c>
      <c r="I16" s="5"/>
      <c r="J16" s="13">
        <f>IF(H$12=0,0,H16/H$12)</f>
        <v>0.49247436814496898</v>
      </c>
      <c r="K16" s="5"/>
      <c r="L16" s="5">
        <f>+D16-H16</f>
        <v>-10359.060000000001</v>
      </c>
      <c r="M16" s="5"/>
      <c r="N16" s="13">
        <f>IF(H16=0,0,L16/H16)</f>
        <v>-0.31346445970889947</v>
      </c>
      <c r="O16" s="11"/>
      <c r="P16" s="5">
        <f>SUM(OSRRefP16x_0)</f>
        <v>62798.42</v>
      </c>
      <c r="Q16" s="5"/>
      <c r="R16" s="13">
        <f>IF(P$12=0,0,P16/P$12)</f>
        <v>0.49600602425530482</v>
      </c>
      <c r="S16" s="5"/>
      <c r="T16" s="5">
        <f>SUM(OSRRefT16x_0)</f>
        <v>97077</v>
      </c>
      <c r="U16" s="5"/>
      <c r="V16" s="13">
        <f>IF(T$12=0,0,T16/T$12)</f>
        <v>0.49084069431733718</v>
      </c>
      <c r="W16" s="5"/>
      <c r="X16" s="5">
        <f>+P16-T16</f>
        <v>-34278.58</v>
      </c>
      <c r="Y16" s="5"/>
      <c r="Z16" s="13">
        <f>IF(T16=0,0,X16/T16)</f>
        <v>-0.35310712115125109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33047</v>
      </c>
      <c r="I17" s="3"/>
      <c r="J17" s="20">
        <f>IF(H$12=0,0,H17/H$12)</f>
        <v>0.49247436814496898</v>
      </c>
      <c r="K17" s="3"/>
      <c r="L17" s="3">
        <f>+D17-H17</f>
        <v>-33047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97077</v>
      </c>
      <c r="U17" s="3"/>
      <c r="V17" s="20">
        <f>IF(T$12=0,0,T17/T$12)</f>
        <v>0.49084069431733718</v>
      </c>
      <c r="W17" s="3"/>
      <c r="X17" s="3">
        <f>+P17-T17</f>
        <v>-97077</v>
      </c>
      <c r="Y17" s="3"/>
      <c r="Z17" s="20">
        <f>IF(T17=0,0,X17/T17)</f>
        <v>-1</v>
      </c>
    </row>
    <row r="18" spans="1:26" s="70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/>
      <c r="E18" s="3"/>
      <c r="F18" s="20">
        <f>IF(D$12=0,0,D18/D$12)</f>
        <v>0</v>
      </c>
      <c r="G18" s="3"/>
      <c r="H18" s="3"/>
      <c r="I18" s="3"/>
      <c r="J18" s="20">
        <f>IF(H$12=0,0,H18/H$12)</f>
        <v>0</v>
      </c>
      <c r="K18" s="3"/>
      <c r="L18" s="3">
        <f>+D18-H18</f>
        <v>0</v>
      </c>
      <c r="M18" s="3"/>
      <c r="N18" s="20">
        <f>IF(H18=0,0,L18/H18)</f>
        <v>0</v>
      </c>
      <c r="O18" s="12"/>
      <c r="P18" s="3">
        <v>41892.61</v>
      </c>
      <c r="Q18" s="3"/>
      <c r="R18" s="20">
        <f>IF(P$12=0,0,P18/P$12)</f>
        <v>0.33088391287198032</v>
      </c>
      <c r="S18" s="3"/>
      <c r="T18" s="3"/>
      <c r="U18" s="3"/>
      <c r="V18" s="20">
        <f>IF(T$12=0,0,T18/T$12)</f>
        <v>0</v>
      </c>
      <c r="W18" s="3"/>
      <c r="X18" s="3">
        <f>+P18-T18</f>
        <v>41892.61</v>
      </c>
      <c r="Y18" s="3"/>
      <c r="Z18" s="20">
        <f>IF(T18=0,0,X18/T18)</f>
        <v>0</v>
      </c>
    </row>
    <row r="19" spans="1:26" s="70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22687.94</v>
      </c>
      <c r="E19" s="3"/>
      <c r="F19" s="20">
        <f>IF(D$12=0,0,D19/D$12)</f>
        <v>0.49251008445719324</v>
      </c>
      <c r="G19" s="3"/>
      <c r="H19" s="3"/>
      <c r="I19" s="3"/>
      <c r="J19" s="20">
        <f>IF(H$12=0,0,H19/H$12)</f>
        <v>0</v>
      </c>
      <c r="K19" s="3"/>
      <c r="L19" s="3">
        <f>+D19-H19</f>
        <v>22687.94</v>
      </c>
      <c r="M19" s="3"/>
      <c r="N19" s="20">
        <f>IF(H19=0,0,L19/H19)</f>
        <v>0</v>
      </c>
      <c r="O19" s="12"/>
      <c r="P19" s="3">
        <v>20905.810000000001</v>
      </c>
      <c r="Q19" s="3"/>
      <c r="R19" s="20">
        <f>IF(P$12=0,0,P19/P$12)</f>
        <v>0.16512211138332455</v>
      </c>
      <c r="S19" s="3"/>
      <c r="T19" s="3"/>
      <c r="U19" s="3"/>
      <c r="V19" s="20">
        <f>IF(T$12=0,0,T19/T$12)</f>
        <v>0</v>
      </c>
      <c r="W19" s="3"/>
      <c r="X19" s="3">
        <f>+P19-T19</f>
        <v>20905.810000000001</v>
      </c>
      <c r="Y19" s="3"/>
      <c r="Z19" s="20">
        <f>IF(T19=0,0,X19/T19)</f>
        <v>0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x14ac:dyDescent="0.3">
      <c r="A21" s="11"/>
      <c r="B21" s="28" t="s">
        <v>289</v>
      </c>
      <c r="C21" s="28"/>
      <c r="D21" s="21">
        <f>D12-D16</f>
        <v>23378.000000000004</v>
      </c>
      <c r="E21" s="15"/>
      <c r="F21" s="22">
        <f>IF(D$12=0,0,D21/D$12)</f>
        <v>0.50748991554280676</v>
      </c>
      <c r="G21" s="15"/>
      <c r="H21" s="21">
        <f>H12-H16</f>
        <v>34057</v>
      </c>
      <c r="I21" s="15"/>
      <c r="J21" s="22">
        <f>IF(H$12=0,0,H21/H$12)</f>
        <v>0.50752563185503097</v>
      </c>
      <c r="K21" s="16"/>
      <c r="L21" s="21">
        <f>+D21-H21</f>
        <v>-10678.999999999996</v>
      </c>
      <c r="M21" s="16"/>
      <c r="N21" s="22">
        <f>IF(H21=0,0,L21/H21)</f>
        <v>-0.31356255688991974</v>
      </c>
      <c r="O21" s="27"/>
      <c r="P21" s="21">
        <f>P12-P16</f>
        <v>63809.759999999995</v>
      </c>
      <c r="Q21" s="15"/>
      <c r="R21" s="22">
        <f>IF(P$12=0,0,P21/P$12)</f>
        <v>0.50399397574469518</v>
      </c>
      <c r="S21" s="15"/>
      <c r="T21" s="21">
        <f>T12-T16</f>
        <v>100700</v>
      </c>
      <c r="U21" s="15"/>
      <c r="V21" s="22">
        <f>IF(T$12=0,0,T21/T$12)</f>
        <v>0.50915930568266277</v>
      </c>
      <c r="W21" s="16"/>
      <c r="X21" s="21">
        <f>+P21-T21</f>
        <v>-36890.240000000005</v>
      </c>
      <c r="Y21" s="16"/>
      <c r="Z21" s="22">
        <f>IF(T21=0,0,X21/T21)</f>
        <v>-0.36633803376365448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3">
      <c r="A23" s="11"/>
      <c r="B23" s="27" t="s">
        <v>290</v>
      </c>
      <c r="C23" s="11"/>
      <c r="D23" s="23" cm="1">
        <f t="array" ref="D23">SUM(OSRRefD22x_0)</f>
        <v>31906.83</v>
      </c>
      <c r="E23" s="23"/>
      <c r="F23" s="29">
        <f t="shared" ref="F23:F54" si="0">IF(D$12=0,0,D23/D$12)</f>
        <v>0.6926338635443019</v>
      </c>
      <c r="G23" s="23"/>
      <c r="H23" s="23" cm="1">
        <f t="array" ref="H23">SUM(OSRRefH22x_0)</f>
        <v>33598.065348307689</v>
      </c>
      <c r="I23" s="23"/>
      <c r="J23" s="29">
        <f t="shared" ref="J23:J54" si="1">IF(H$12=0,0,H23/H$12)</f>
        <v>0.50068647693591573</v>
      </c>
      <c r="K23" s="5"/>
      <c r="L23" s="23">
        <f t="shared" ref="L23:L54" si="2">+D23-H23</f>
        <v>-1691.2353483076877</v>
      </c>
      <c r="M23" s="5"/>
      <c r="N23" s="29">
        <f t="shared" ref="N23:N54" si="3">IF(H23=0,0,L23/H23)</f>
        <v>-5.0337283732703797E-2</v>
      </c>
      <c r="O23" s="11"/>
      <c r="P23" s="23" cm="1">
        <f t="array" ref="P23">SUM(OSRRefP22x_0)</f>
        <v>153861.34000000003</v>
      </c>
      <c r="Q23" s="23"/>
      <c r="R23" s="29">
        <f t="shared" ref="R23:R54" si="4">IF(P$12=0,0,P23/P$12)</f>
        <v>1.2152559179035669</v>
      </c>
      <c r="S23" s="23"/>
      <c r="T23" s="23" cm="1">
        <f t="array" ref="T23">SUM(OSRRefT22x_0)</f>
        <v>223663.79087269233</v>
      </c>
      <c r="U23" s="23"/>
      <c r="V23" s="29">
        <f t="shared" ref="V23:V54" si="5">IF(T$12=0,0,T23/T$12)</f>
        <v>1.130888783188603</v>
      </c>
      <c r="W23" s="5"/>
      <c r="X23" s="23">
        <f t="shared" ref="X23:X54" si="6">+P23-T23</f>
        <v>-69802.450872692309</v>
      </c>
      <c r="Y23" s="5"/>
      <c r="Z23" s="29">
        <f t="shared" ref="Z23:Z54" si="7">IF(T23=0,0,X23/T23)</f>
        <v>-0.31208650537638127</v>
      </c>
    </row>
    <row r="24" spans="1:26" s="69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3975.66</v>
      </c>
      <c r="E24" s="2"/>
      <c r="F24" s="6">
        <f t="shared" si="0"/>
        <v>8.6303676859736278E-2</v>
      </c>
      <c r="G24" s="2"/>
      <c r="H24" s="2">
        <f>SUM(OSRRefH22_0x_0)</f>
        <v>4262.8589175384604</v>
      </c>
      <c r="I24" s="2"/>
      <c r="J24" s="6">
        <f t="shared" si="1"/>
        <v>6.3526152204614633E-2</v>
      </c>
      <c r="K24" s="2"/>
      <c r="L24" s="2">
        <f t="shared" si="2"/>
        <v>-287.19891753846059</v>
      </c>
      <c r="M24" s="2"/>
      <c r="N24" s="6">
        <f t="shared" si="3"/>
        <v>-6.7372372178880452E-2</v>
      </c>
      <c r="O24" s="14"/>
      <c r="P24" s="2">
        <f>SUM(OSRRefP22_0x_0)</f>
        <v>9335.85</v>
      </c>
      <c r="Q24" s="2"/>
      <c r="R24" s="6">
        <f t="shared" si="4"/>
        <v>7.3738126557067643E-2</v>
      </c>
      <c r="S24" s="2"/>
      <c r="T24" s="2">
        <f>SUM(OSRRefT22_0x_0)</f>
        <v>32425.197503461521</v>
      </c>
      <c r="U24" s="2"/>
      <c r="V24" s="6">
        <f t="shared" si="5"/>
        <v>0.16394827256688857</v>
      </c>
      <c r="W24" s="2"/>
      <c r="X24" s="2">
        <f t="shared" si="6"/>
        <v>-23089.347503461518</v>
      </c>
      <c r="Y24" s="2"/>
      <c r="Z24" s="6">
        <f t="shared" si="7"/>
        <v>-0.71208039676540558</v>
      </c>
    </row>
    <row r="25" spans="1:26" s="70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8">
        <v>596.1</v>
      </c>
      <c r="E25" s="3"/>
      <c r="F25" s="7">
        <f t="shared" si="0"/>
        <v>1.2940146233855209E-2</v>
      </c>
      <c r="G25" s="3"/>
      <c r="H25" s="8">
        <v>530.98633292307704</v>
      </c>
      <c r="I25" s="3"/>
      <c r="J25" s="7">
        <f t="shared" si="1"/>
        <v>7.9128864586772325E-3</v>
      </c>
      <c r="K25" s="3"/>
      <c r="L25" s="8">
        <f t="shared" si="2"/>
        <v>65.11366707692298</v>
      </c>
      <c r="M25" s="3"/>
      <c r="N25" s="7">
        <f t="shared" si="3"/>
        <v>0.12262776467046256</v>
      </c>
      <c r="O25" s="12"/>
      <c r="P25" s="8">
        <v>2123.56</v>
      </c>
      <c r="Q25" s="3"/>
      <c r="R25" s="7">
        <f t="shared" si="4"/>
        <v>1.6772691938230215E-2</v>
      </c>
      <c r="S25" s="3"/>
      <c r="T25" s="8">
        <v>3914.3122880769201</v>
      </c>
      <c r="U25" s="3"/>
      <c r="V25" s="7">
        <f t="shared" si="5"/>
        <v>1.9791544457024426E-2</v>
      </c>
      <c r="W25" s="3"/>
      <c r="X25" s="8">
        <f t="shared" si="6"/>
        <v>-1790.7522880769202</v>
      </c>
      <c r="Y25" s="3"/>
      <c r="Z25" s="7">
        <f t="shared" si="7"/>
        <v>-0.45748835460358911</v>
      </c>
    </row>
    <row r="26" spans="1:26" s="70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8">
        <v>199.08</v>
      </c>
      <c r="E26" s="3"/>
      <c r="F26" s="7">
        <f t="shared" si="0"/>
        <v>4.3216311226906478E-3</v>
      </c>
      <c r="G26" s="3"/>
      <c r="H26" s="8">
        <v>559.32201938461503</v>
      </c>
      <c r="I26" s="3"/>
      <c r="J26" s="7">
        <f t="shared" si="1"/>
        <v>8.3351516956457899E-3</v>
      </c>
      <c r="K26" s="3"/>
      <c r="L26" s="8">
        <f t="shared" si="2"/>
        <v>-360.24201938461499</v>
      </c>
      <c r="M26" s="3"/>
      <c r="N26" s="7">
        <f t="shared" si="3"/>
        <v>-0.64406908167313959</v>
      </c>
      <c r="O26" s="12"/>
      <c r="P26" s="8">
        <v>755.39</v>
      </c>
      <c r="Q26" s="3"/>
      <c r="R26" s="7">
        <f t="shared" si="4"/>
        <v>5.9663601514530892E-3</v>
      </c>
      <c r="S26" s="3"/>
      <c r="T26" s="8">
        <v>3453.7323666153802</v>
      </c>
      <c r="U26" s="3"/>
      <c r="V26" s="7">
        <f t="shared" si="5"/>
        <v>1.7462760415090633E-2</v>
      </c>
      <c r="W26" s="3"/>
      <c r="X26" s="8">
        <f t="shared" si="6"/>
        <v>-2698.3423666153803</v>
      </c>
      <c r="Y26" s="3"/>
      <c r="Z26" s="7">
        <f t="shared" si="7"/>
        <v>-0.78128299479664842</v>
      </c>
    </row>
    <row r="27" spans="1:26" s="70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8">
        <v>1752.24</v>
      </c>
      <c r="E27" s="3"/>
      <c r="F27" s="7">
        <f t="shared" si="0"/>
        <v>3.803764777186789E-2</v>
      </c>
      <c r="G27" s="3"/>
      <c r="H27" s="8">
        <v>1977</v>
      </c>
      <c r="I27" s="3"/>
      <c r="J27" s="7">
        <f t="shared" si="1"/>
        <v>2.9461731044349071E-2</v>
      </c>
      <c r="K27" s="3"/>
      <c r="L27" s="8">
        <f t="shared" si="2"/>
        <v>-224.76</v>
      </c>
      <c r="M27" s="3"/>
      <c r="N27" s="7">
        <f t="shared" si="3"/>
        <v>-0.11368740515933232</v>
      </c>
      <c r="O27" s="12"/>
      <c r="P27" s="8">
        <v>3504.48</v>
      </c>
      <c r="Q27" s="3"/>
      <c r="R27" s="7">
        <f t="shared" si="4"/>
        <v>2.7679728118672902E-2</v>
      </c>
      <c r="S27" s="3"/>
      <c r="T27" s="8">
        <v>15816</v>
      </c>
      <c r="U27" s="3"/>
      <c r="V27" s="7">
        <f t="shared" si="5"/>
        <v>7.9968853810099258E-2</v>
      </c>
      <c r="W27" s="3"/>
      <c r="X27" s="8">
        <f t="shared" si="6"/>
        <v>-12311.52</v>
      </c>
      <c r="Y27" s="3"/>
      <c r="Z27" s="7">
        <f t="shared" si="7"/>
        <v>-0.7784218512898331</v>
      </c>
    </row>
    <row r="28" spans="1:26" s="70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8">
        <v>34.97</v>
      </c>
      <c r="E28" s="3"/>
      <c r="F28" s="7">
        <f t="shared" si="0"/>
        <v>7.5912919610454047E-4</v>
      </c>
      <c r="G28" s="3"/>
      <c r="H28" s="8">
        <v>30.9914575384615</v>
      </c>
      <c r="I28" s="3"/>
      <c r="J28" s="7">
        <f t="shared" si="1"/>
        <v>4.618421783867057E-4</v>
      </c>
      <c r="K28" s="3"/>
      <c r="L28" s="8">
        <f t="shared" si="2"/>
        <v>3.978542461538499</v>
      </c>
      <c r="M28" s="3"/>
      <c r="N28" s="7">
        <f t="shared" si="3"/>
        <v>0.12837545496532349</v>
      </c>
      <c r="O28" s="12"/>
      <c r="P28" s="8">
        <v>112.01</v>
      </c>
      <c r="Q28" s="3"/>
      <c r="R28" s="7">
        <f t="shared" si="4"/>
        <v>8.846979713317102E-4</v>
      </c>
      <c r="S28" s="3"/>
      <c r="T28" s="8">
        <v>191.36775646153799</v>
      </c>
      <c r="U28" s="3"/>
      <c r="V28" s="7">
        <f t="shared" si="5"/>
        <v>9.6759358500502076E-4</v>
      </c>
      <c r="W28" s="3"/>
      <c r="X28" s="8">
        <f t="shared" si="6"/>
        <v>-79.357756461537988</v>
      </c>
      <c r="Y28" s="3"/>
      <c r="Z28" s="7">
        <f t="shared" si="7"/>
        <v>-0.41468718622662898</v>
      </c>
    </row>
    <row r="29" spans="1:26" s="70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8">
        <v>548.17999999999995</v>
      </c>
      <c r="E29" s="3"/>
      <c r="F29" s="7">
        <f t="shared" si="0"/>
        <v>1.1899898276253561E-2</v>
      </c>
      <c r="G29" s="3"/>
      <c r="H29" s="8">
        <v>397.928615384615</v>
      </c>
      <c r="I29" s="3"/>
      <c r="J29" s="7">
        <f t="shared" si="1"/>
        <v>5.9300282454788833E-3</v>
      </c>
      <c r="K29" s="3"/>
      <c r="L29" s="8">
        <f t="shared" si="2"/>
        <v>150.25138461538495</v>
      </c>
      <c r="M29" s="3"/>
      <c r="N29" s="7">
        <f t="shared" si="3"/>
        <v>0.37758376454068421</v>
      </c>
      <c r="O29" s="12"/>
      <c r="P29" s="8">
        <v>1096.3599999999999</v>
      </c>
      <c r="Q29" s="3"/>
      <c r="R29" s="7">
        <f t="shared" si="4"/>
        <v>8.6594720815037374E-3</v>
      </c>
      <c r="S29" s="3"/>
      <c r="T29" s="8">
        <v>3481.87538461538</v>
      </c>
      <c r="U29" s="3"/>
      <c r="V29" s="7">
        <f t="shared" si="5"/>
        <v>1.7605057133111432E-2</v>
      </c>
      <c r="W29" s="3"/>
      <c r="X29" s="8">
        <f t="shared" si="6"/>
        <v>-2385.5153846153798</v>
      </c>
      <c r="Y29" s="3"/>
      <c r="Z29" s="7">
        <f t="shared" si="7"/>
        <v>-0.6851237109621291</v>
      </c>
    </row>
    <row r="30" spans="1:26" s="70" customFormat="1" ht="15" hidden="1" customHeight="1" outlineLevel="2" x14ac:dyDescent="0.3">
      <c r="A30" s="26"/>
      <c r="B30" s="12" t="str">
        <f>CONCATENATE("          ","6116"," - ","EDUCATIONAL BENEFITS")</f>
        <v xml:space="preserve">          6116 - EDUCATIONAL BENEFITS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8">
        <v>368.44</v>
      </c>
      <c r="E31" s="3"/>
      <c r="F31" s="7">
        <f t="shared" si="0"/>
        <v>7.9981001147485537E-3</v>
      </c>
      <c r="G31" s="3"/>
      <c r="H31" s="8">
        <v>231.35384615384601</v>
      </c>
      <c r="I31" s="3"/>
      <c r="J31" s="7">
        <f t="shared" si="1"/>
        <v>3.4476908403947007E-3</v>
      </c>
      <c r="K31" s="3"/>
      <c r="L31" s="8">
        <f t="shared" si="2"/>
        <v>137.08615384615399</v>
      </c>
      <c r="M31" s="3"/>
      <c r="N31" s="7">
        <f t="shared" si="3"/>
        <v>0.59253890144966181</v>
      </c>
      <c r="O31" s="12"/>
      <c r="P31" s="8">
        <v>736.88</v>
      </c>
      <c r="Q31" s="3"/>
      <c r="R31" s="7">
        <f t="shared" si="4"/>
        <v>5.8201610670021485E-3</v>
      </c>
      <c r="S31" s="3"/>
      <c r="T31" s="8">
        <v>2024.3461538461499</v>
      </c>
      <c r="U31" s="3"/>
      <c r="V31" s="7">
        <f t="shared" si="5"/>
        <v>1.0235498333204316E-2</v>
      </c>
      <c r="W31" s="3"/>
      <c r="X31" s="8">
        <f t="shared" si="6"/>
        <v>-1287.4661538461501</v>
      </c>
      <c r="Y31" s="3"/>
      <c r="Z31" s="7">
        <f t="shared" si="7"/>
        <v>-0.63599110824007687</v>
      </c>
    </row>
    <row r="32" spans="1:26" s="70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8">
        <v>232.4</v>
      </c>
      <c r="E32" s="3"/>
      <c r="F32" s="7">
        <f t="shared" si="0"/>
        <v>5.0449420982183364E-3</v>
      </c>
      <c r="G32" s="3"/>
      <c r="H32" s="8">
        <v>535.27664615384595</v>
      </c>
      <c r="I32" s="3"/>
      <c r="J32" s="7">
        <f t="shared" si="1"/>
        <v>7.9768217416822541E-3</v>
      </c>
      <c r="K32" s="3"/>
      <c r="L32" s="8">
        <f t="shared" si="2"/>
        <v>-302.87664615384597</v>
      </c>
      <c r="M32" s="3"/>
      <c r="N32" s="7">
        <f t="shared" si="3"/>
        <v>-0.56583198301312587</v>
      </c>
      <c r="O32" s="12"/>
      <c r="P32" s="8">
        <v>464.8</v>
      </c>
      <c r="Q32" s="3"/>
      <c r="R32" s="7">
        <f t="shared" si="4"/>
        <v>3.6711687980981959E-3</v>
      </c>
      <c r="S32" s="3"/>
      <c r="T32" s="8">
        <v>3543.5635538461502</v>
      </c>
      <c r="U32" s="3"/>
      <c r="V32" s="7">
        <f t="shared" si="5"/>
        <v>1.7916964833353474E-2</v>
      </c>
      <c r="W32" s="3"/>
      <c r="X32" s="8">
        <f t="shared" si="6"/>
        <v>-3078.76355384615</v>
      </c>
      <c r="Y32" s="3"/>
      <c r="Z32" s="7">
        <f t="shared" si="7"/>
        <v>-0.86883260510580917</v>
      </c>
    </row>
    <row r="33" spans="1:26" s="70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8">
        <v>244.25</v>
      </c>
      <c r="E33" s="3"/>
      <c r="F33" s="7">
        <f t="shared" si="0"/>
        <v>5.3021820459975416E-3</v>
      </c>
      <c r="G33" s="3"/>
      <c r="H33" s="8"/>
      <c r="I33" s="3"/>
      <c r="J33" s="7">
        <f t="shared" si="1"/>
        <v>0</v>
      </c>
      <c r="K33" s="3"/>
      <c r="L33" s="8">
        <f t="shared" si="2"/>
        <v>244.25</v>
      </c>
      <c r="M33" s="3"/>
      <c r="N33" s="7">
        <f t="shared" si="3"/>
        <v>0</v>
      </c>
      <c r="O33" s="12"/>
      <c r="P33" s="8">
        <v>542.37</v>
      </c>
      <c r="Q33" s="3"/>
      <c r="R33" s="7">
        <f t="shared" si="4"/>
        <v>4.2838464307756417E-3</v>
      </c>
      <c r="S33" s="3"/>
      <c r="T33" s="8"/>
      <c r="U33" s="3"/>
      <c r="V33" s="7">
        <f t="shared" si="5"/>
        <v>0</v>
      </c>
      <c r="W33" s="3"/>
      <c r="X33" s="8">
        <f t="shared" si="6"/>
        <v>542.37</v>
      </c>
      <c r="Y33" s="3"/>
      <c r="Z33" s="7">
        <f t="shared" si="7"/>
        <v>0</v>
      </c>
    </row>
    <row r="34" spans="1:26" s="69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15587.349999999999</v>
      </c>
      <c r="E34" s="2"/>
      <c r="F34" s="6">
        <f t="shared" si="0"/>
        <v>0.33837038818702053</v>
      </c>
      <c r="G34" s="2"/>
      <c r="H34" s="2">
        <f>SUM(OSRRefH22_1x_0)</f>
        <v>13991.206430769231</v>
      </c>
      <c r="I34" s="2"/>
      <c r="J34" s="6">
        <f t="shared" si="1"/>
        <v>0.20850033426873554</v>
      </c>
      <c r="K34" s="2"/>
      <c r="L34" s="2">
        <f t="shared" si="2"/>
        <v>1596.1435692307678</v>
      </c>
      <c r="M34" s="2"/>
      <c r="N34" s="6">
        <f t="shared" si="3"/>
        <v>0.11408191117247439</v>
      </c>
      <c r="O34" s="14"/>
      <c r="P34" s="2">
        <f>SUM(OSRRefP22_1x_0)</f>
        <v>45720.959999999999</v>
      </c>
      <c r="Q34" s="2"/>
      <c r="R34" s="6">
        <f t="shared" si="4"/>
        <v>0.36112169055743476</v>
      </c>
      <c r="S34" s="2"/>
      <c r="T34" s="2">
        <f>SUM(OSRRefT22_1x_0)</f>
        <v>85559.593369230803</v>
      </c>
      <c r="U34" s="2"/>
      <c r="V34" s="6">
        <f t="shared" si="5"/>
        <v>0.4326063868358343</v>
      </c>
      <c r="W34" s="2"/>
      <c r="X34" s="2">
        <f t="shared" si="6"/>
        <v>-39838.633369230804</v>
      </c>
      <c r="Y34" s="2"/>
      <c r="Z34" s="6">
        <f t="shared" si="7"/>
        <v>-0.46562438880825363</v>
      </c>
    </row>
    <row r="35" spans="1:26" s="70" customFormat="1" ht="15" hidden="1" customHeight="1" outlineLevel="2" x14ac:dyDescent="0.3">
      <c r="A35" s="26"/>
      <c r="B35" s="12" t="str">
        <f>CONCATENATE("          ","6001"," - ","ADMINISTRATIVE SALARIES")</f>
        <v xml:space="preserve">          6001 - ADMINISTRATIVE SALARIES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","6002"," - ","STAFF SALARIES")</f>
        <v xml:space="preserve">          6002 - STAFF SALARIES</v>
      </c>
      <c r="C36" s="12"/>
      <c r="D36" s="8">
        <v>5038.46</v>
      </c>
      <c r="E36" s="3"/>
      <c r="F36" s="7">
        <f t="shared" si="0"/>
        <v>0.10937495251372271</v>
      </c>
      <c r="G36" s="3"/>
      <c r="H36" s="8">
        <v>4164.3692307692299</v>
      </c>
      <c r="I36" s="3"/>
      <c r="J36" s="7">
        <f t="shared" si="1"/>
        <v>6.2058435127104641E-2</v>
      </c>
      <c r="K36" s="3"/>
      <c r="L36" s="8">
        <f t="shared" si="2"/>
        <v>874.09076923077009</v>
      </c>
      <c r="M36" s="3"/>
      <c r="N36" s="7">
        <f t="shared" si="3"/>
        <v>0.20989751887810165</v>
      </c>
      <c r="O36" s="12"/>
      <c r="P36" s="8">
        <v>11085</v>
      </c>
      <c r="Q36" s="3"/>
      <c r="R36" s="7">
        <f t="shared" si="4"/>
        <v>8.7553584610409851E-2</v>
      </c>
      <c r="S36" s="3"/>
      <c r="T36" s="8">
        <v>36438.230769230802</v>
      </c>
      <c r="U36" s="3"/>
      <c r="V36" s="7">
        <f t="shared" si="5"/>
        <v>0.18423896999767819</v>
      </c>
      <c r="W36" s="3"/>
      <c r="X36" s="8">
        <f t="shared" si="6"/>
        <v>-25353.230769230802</v>
      </c>
      <c r="Y36" s="3"/>
      <c r="Z36" s="7">
        <f t="shared" si="7"/>
        <v>-0.69578654709656196</v>
      </c>
    </row>
    <row r="37" spans="1:26" s="70" customFormat="1" ht="15" hidden="1" customHeight="1" outlineLevel="2" x14ac:dyDescent="0.3">
      <c r="A37" s="26"/>
      <c r="B37" s="12" t="str">
        <f>CONCATENATE("          ","6003"," - ","STAFF HOURLY-9 MONTH")</f>
        <v xml:space="preserve">          6003 - STAFF HOURLY-9 MONTH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8"/>
      <c r="E38" s="3"/>
      <c r="F38" s="7">
        <f t="shared" si="0"/>
        <v>0</v>
      </c>
      <c r="G38" s="3"/>
      <c r="H38" s="8">
        <v>2241.864</v>
      </c>
      <c r="I38" s="3"/>
      <c r="J38" s="7">
        <f t="shared" si="1"/>
        <v>3.3408798283261806E-2</v>
      </c>
      <c r="K38" s="3"/>
      <c r="L38" s="8">
        <f t="shared" si="2"/>
        <v>-2241.864</v>
      </c>
      <c r="M38" s="3"/>
      <c r="N38" s="7">
        <f t="shared" si="3"/>
        <v>-1</v>
      </c>
      <c r="O38" s="12"/>
      <c r="P38" s="8"/>
      <c r="Q38" s="3"/>
      <c r="R38" s="7">
        <f t="shared" si="4"/>
        <v>0</v>
      </c>
      <c r="S38" s="3"/>
      <c r="T38" s="8">
        <v>10340.684999999999</v>
      </c>
      <c r="U38" s="3"/>
      <c r="V38" s="7">
        <f t="shared" si="5"/>
        <v>5.2284567973020113E-2</v>
      </c>
      <c r="W38" s="3"/>
      <c r="X38" s="8">
        <f t="shared" si="6"/>
        <v>-10340.684999999999</v>
      </c>
      <c r="Y38" s="3"/>
      <c r="Z38" s="7">
        <f t="shared" si="7"/>
        <v>-1</v>
      </c>
    </row>
    <row r="39" spans="1:26" s="70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8">
        <v>3653.66</v>
      </c>
      <c r="E39" s="3"/>
      <c r="F39" s="7">
        <f t="shared" si="0"/>
        <v>7.9313696844132558E-2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3653.66</v>
      </c>
      <c r="M39" s="3"/>
      <c r="N39" s="7">
        <f t="shared" si="3"/>
        <v>0</v>
      </c>
      <c r="O39" s="12"/>
      <c r="P39" s="8">
        <v>17658.39</v>
      </c>
      <c r="Q39" s="3"/>
      <c r="R39" s="7">
        <f t="shared" si="4"/>
        <v>0.13947274180862565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17658.39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8">
        <v>6895.23</v>
      </c>
      <c r="E41" s="3"/>
      <c r="F41" s="7">
        <f t="shared" si="0"/>
        <v>0.1496817388291653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6895.23</v>
      </c>
      <c r="M41" s="3"/>
      <c r="N41" s="7">
        <f t="shared" si="3"/>
        <v>0</v>
      </c>
      <c r="O41" s="12"/>
      <c r="P41" s="8">
        <v>16977.57</v>
      </c>
      <c r="Q41" s="3"/>
      <c r="R41" s="7">
        <f t="shared" si="4"/>
        <v>0.13409536413839929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16977.57</v>
      </c>
      <c r="Y41" s="3"/>
      <c r="Z41" s="7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8"/>
      <c r="E42" s="3"/>
      <c r="F42" s="7">
        <f t="shared" si="0"/>
        <v>0</v>
      </c>
      <c r="G42" s="3"/>
      <c r="H42" s="8">
        <v>7584.9732000000004</v>
      </c>
      <c r="I42" s="3"/>
      <c r="J42" s="7">
        <f t="shared" si="1"/>
        <v>0.11303310085836911</v>
      </c>
      <c r="K42" s="3"/>
      <c r="L42" s="8">
        <f t="shared" si="2"/>
        <v>-7584.9732000000004</v>
      </c>
      <c r="M42" s="3"/>
      <c r="N42" s="7">
        <f t="shared" si="3"/>
        <v>-1</v>
      </c>
      <c r="O42" s="12"/>
      <c r="P42" s="8"/>
      <c r="Q42" s="3"/>
      <c r="R42" s="7">
        <f t="shared" si="4"/>
        <v>0</v>
      </c>
      <c r="S42" s="3"/>
      <c r="T42" s="8">
        <v>38780.677600000003</v>
      </c>
      <c r="U42" s="3"/>
      <c r="V42" s="7">
        <f t="shared" si="5"/>
        <v>0.19608284886513599</v>
      </c>
      <c r="W42" s="3"/>
      <c r="X42" s="8">
        <f t="shared" si="6"/>
        <v>-38780.677600000003</v>
      </c>
      <c r="Y42" s="3"/>
      <c r="Z42" s="7">
        <f t="shared" si="7"/>
        <v>-1</v>
      </c>
    </row>
    <row r="43" spans="1:26" s="70" customFormat="1" ht="15" hidden="1" customHeight="1" outlineLevel="2" x14ac:dyDescent="0.3">
      <c r="A43" s="26"/>
      <c r="B43" s="12" t="str">
        <f>CONCATENATE("          ","6009"," - ","TEMPORARY-SEASONAL")</f>
        <v xml:space="preserve">          6009 - TEMPORARY-SEASONAL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","6010"," - ","GRATUITY")</f>
        <v xml:space="preserve">          6010 - GRATUITY</v>
      </c>
      <c r="C44" s="12"/>
      <c r="D44" s="8"/>
      <c r="E44" s="3"/>
      <c r="F44" s="7">
        <f t="shared" si="0"/>
        <v>0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/>
      <c r="Q44" s="3"/>
      <c r="R44" s="7">
        <f t="shared" si="4"/>
        <v>0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0</v>
      </c>
      <c r="E45" s="2"/>
      <c r="F45" s="6">
        <f t="shared" si="0"/>
        <v>0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SUM(OSRRefP22_2x_0)</f>
        <v>91.22</v>
      </c>
      <c r="Q45" s="2"/>
      <c r="R45" s="6">
        <f t="shared" si="4"/>
        <v>7.2049057177822162E-4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91.22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","6362"," - ","ADVERTISING EXPENSE")</f>
        <v xml:space="preserve">          6362 - ADVERTISING EXPENSE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91.22</v>
      </c>
      <c r="Q46" s="3"/>
      <c r="R46" s="7">
        <f t="shared" si="4"/>
        <v>7.2049057177822162E-4</v>
      </c>
      <c r="S46" s="3"/>
      <c r="T46" s="8"/>
      <c r="U46" s="3"/>
      <c r="V46" s="7">
        <f t="shared" si="5"/>
        <v>0</v>
      </c>
      <c r="W46" s="3"/>
      <c r="X46" s="8">
        <f t="shared" si="6"/>
        <v>91.22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10.59</v>
      </c>
      <c r="E47" s="2"/>
      <c r="F47" s="6">
        <f t="shared" si="0"/>
        <v>2.2988785206597324E-4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10.59</v>
      </c>
      <c r="M47" s="2"/>
      <c r="N47" s="6">
        <f t="shared" si="3"/>
        <v>0</v>
      </c>
      <c r="O47" s="14"/>
      <c r="P47" s="2">
        <f>SUM(OSRRefP22_3x_0)</f>
        <v>19.91</v>
      </c>
      <c r="Q47" s="2"/>
      <c r="R47" s="6">
        <f t="shared" si="4"/>
        <v>1.5725682179461075E-4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19.91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","6272"," - ","CASH (OVER/SHORT)")</f>
        <v xml:space="preserve">          6272 - CASH (OVER/SHORT)</v>
      </c>
      <c r="C48" s="12"/>
      <c r="D48" s="8">
        <v>10.59</v>
      </c>
      <c r="E48" s="3"/>
      <c r="F48" s="7">
        <f t="shared" si="0"/>
        <v>2.2988785206597324E-4</v>
      </c>
      <c r="G48" s="3"/>
      <c r="H48" s="8">
        <v>0</v>
      </c>
      <c r="I48" s="3"/>
      <c r="J48" s="7">
        <f t="shared" si="1"/>
        <v>0</v>
      </c>
      <c r="K48" s="3"/>
      <c r="L48" s="8">
        <f t="shared" si="2"/>
        <v>10.59</v>
      </c>
      <c r="M48" s="3"/>
      <c r="N48" s="7">
        <f t="shared" si="3"/>
        <v>0</v>
      </c>
      <c r="O48" s="12"/>
      <c r="P48" s="8">
        <v>19.91</v>
      </c>
      <c r="Q48" s="3"/>
      <c r="R48" s="7">
        <f t="shared" si="4"/>
        <v>1.5725682179461075E-4</v>
      </c>
      <c r="S48" s="3"/>
      <c r="T48" s="8">
        <v>0</v>
      </c>
      <c r="U48" s="3"/>
      <c r="V48" s="7">
        <f t="shared" si="5"/>
        <v>0</v>
      </c>
      <c r="W48" s="3"/>
      <c r="X48" s="8">
        <f t="shared" si="6"/>
        <v>19.91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1790.85</v>
      </c>
      <c r="E49" s="2"/>
      <c r="F49" s="6">
        <f t="shared" si="0"/>
        <v>3.8875794133366212E-2</v>
      </c>
      <c r="G49" s="2"/>
      <c r="H49" s="2">
        <f>SUM(OSRRefH22_4x_0)</f>
        <v>3345</v>
      </c>
      <c r="I49" s="2"/>
      <c r="J49" s="6">
        <f t="shared" si="1"/>
        <v>4.9847997138769674E-2</v>
      </c>
      <c r="K49" s="2"/>
      <c r="L49" s="2">
        <f t="shared" si="2"/>
        <v>-1554.15</v>
      </c>
      <c r="M49" s="2"/>
      <c r="N49" s="6">
        <f t="shared" si="3"/>
        <v>-0.46461883408071752</v>
      </c>
      <c r="O49" s="14"/>
      <c r="P49" s="2">
        <f>SUM(OSRRefP22_4x_0)</f>
        <v>5112.92</v>
      </c>
      <c r="Q49" s="2"/>
      <c r="R49" s="6">
        <f t="shared" si="4"/>
        <v>4.0383804585138183E-2</v>
      </c>
      <c r="S49" s="2"/>
      <c r="T49" s="2">
        <f>SUM(OSRRefT22_4x_0)</f>
        <v>9752</v>
      </c>
      <c r="U49" s="2"/>
      <c r="V49" s="6">
        <f t="shared" si="5"/>
        <v>4.9308059076636816E-2</v>
      </c>
      <c r="W49" s="2"/>
      <c r="X49" s="2">
        <f t="shared" si="6"/>
        <v>-4639.08</v>
      </c>
      <c r="Y49" s="2"/>
      <c r="Z49" s="6">
        <f t="shared" si="7"/>
        <v>-0.47570549630844955</v>
      </c>
    </row>
    <row r="50" spans="1:26" s="70" customFormat="1" ht="15" hidden="1" customHeight="1" outlineLevel="2" x14ac:dyDescent="0.3">
      <c r="A50" s="26"/>
      <c r="B50" s="12" t="str">
        <f>CONCATENATE("          ","6381"," - ","BANK/CREDIT CARD FEES")</f>
        <v xml:space="preserve">          6381 - BANK/CREDIT CARD FEES</v>
      </c>
      <c r="C50" s="12"/>
      <c r="D50" s="8">
        <v>1790.85</v>
      </c>
      <c r="E50" s="3"/>
      <c r="F50" s="7">
        <f t="shared" si="0"/>
        <v>3.8875794133366212E-2</v>
      </c>
      <c r="G50" s="3"/>
      <c r="H50" s="8">
        <v>3345</v>
      </c>
      <c r="I50" s="3"/>
      <c r="J50" s="7">
        <f t="shared" si="1"/>
        <v>4.9847997138769674E-2</v>
      </c>
      <c r="K50" s="3"/>
      <c r="L50" s="8">
        <f t="shared" si="2"/>
        <v>-1554.15</v>
      </c>
      <c r="M50" s="3"/>
      <c r="N50" s="7">
        <f t="shared" si="3"/>
        <v>-0.46461883408071752</v>
      </c>
      <c r="O50" s="12"/>
      <c r="P50" s="8">
        <v>5112.92</v>
      </c>
      <c r="Q50" s="3"/>
      <c r="R50" s="7">
        <f t="shared" si="4"/>
        <v>4.0383804585138183E-2</v>
      </c>
      <c r="S50" s="3"/>
      <c r="T50" s="8">
        <v>9752</v>
      </c>
      <c r="U50" s="3"/>
      <c r="V50" s="7">
        <f t="shared" si="5"/>
        <v>4.9308059076636816E-2</v>
      </c>
      <c r="W50" s="3"/>
      <c r="X50" s="8">
        <f t="shared" si="6"/>
        <v>-4639.08</v>
      </c>
      <c r="Y50" s="3"/>
      <c r="Z50" s="7">
        <f t="shared" si="7"/>
        <v>-0.47570549630844955</v>
      </c>
    </row>
    <row r="51" spans="1:26" s="69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5471.21</v>
      </c>
      <c r="E51" s="2"/>
      <c r="F51" s="6">
        <f t="shared" si="0"/>
        <v>0.11876909491046964</v>
      </c>
      <c r="G51" s="2"/>
      <c r="H51" s="2">
        <f>SUM(OSRRefH22_5x_0)</f>
        <v>5471</v>
      </c>
      <c r="I51" s="2"/>
      <c r="J51" s="6">
        <f t="shared" si="1"/>
        <v>8.1530162136385309E-2</v>
      </c>
      <c r="K51" s="2"/>
      <c r="L51" s="2">
        <f t="shared" si="2"/>
        <v>0.21000000000003638</v>
      </c>
      <c r="M51" s="2"/>
      <c r="N51" s="6">
        <f t="shared" si="3"/>
        <v>3.8384207640291792E-5</v>
      </c>
      <c r="O51" s="14"/>
      <c r="P51" s="2">
        <f>SUM(OSRRefP22_5x_0)</f>
        <v>43769.68</v>
      </c>
      <c r="Q51" s="2"/>
      <c r="R51" s="6">
        <f t="shared" si="4"/>
        <v>0.34570973218318124</v>
      </c>
      <c r="S51" s="2"/>
      <c r="T51" s="2">
        <f>SUM(OSRRefT22_5x_0)</f>
        <v>43768</v>
      </c>
      <c r="U51" s="2"/>
      <c r="V51" s="6">
        <f t="shared" si="5"/>
        <v>0.22129974668439709</v>
      </c>
      <c r="W51" s="2"/>
      <c r="X51" s="2">
        <f t="shared" si="6"/>
        <v>1.680000000000291</v>
      </c>
      <c r="Y51" s="2"/>
      <c r="Z51" s="6">
        <f t="shared" si="7"/>
        <v>3.8384207640291792E-5</v>
      </c>
    </row>
    <row r="52" spans="1:26" s="70" customFormat="1" ht="15" hidden="1" customHeight="1" outlineLevel="2" x14ac:dyDescent="0.3">
      <c r="A52" s="26"/>
      <c r="B52" s="12" t="str">
        <f>CONCATENATE("          ","6321"," - ","BUILDING DEPRECIATION")</f>
        <v xml:space="preserve">          6321 - BUILDING DEPRECIATION</v>
      </c>
      <c r="C52" s="12"/>
      <c r="D52" s="8">
        <v>5080.51</v>
      </c>
      <c r="E52" s="3"/>
      <c r="F52" s="7">
        <f t="shared" si="0"/>
        <v>0.11028777443812066</v>
      </c>
      <c r="G52" s="3"/>
      <c r="H52" s="8"/>
      <c r="I52" s="3"/>
      <c r="J52" s="7">
        <f t="shared" si="1"/>
        <v>0</v>
      </c>
      <c r="K52" s="3"/>
      <c r="L52" s="8">
        <f t="shared" si="2"/>
        <v>5080.51</v>
      </c>
      <c r="M52" s="3"/>
      <c r="N52" s="7">
        <f t="shared" si="3"/>
        <v>0</v>
      </c>
      <c r="O52" s="12"/>
      <c r="P52" s="8">
        <v>40644.080000000002</v>
      </c>
      <c r="Q52" s="3"/>
      <c r="R52" s="7">
        <f t="shared" si="4"/>
        <v>0.3210225437250579</v>
      </c>
      <c r="S52" s="3"/>
      <c r="T52" s="8"/>
      <c r="U52" s="3"/>
      <c r="V52" s="7">
        <f t="shared" si="5"/>
        <v>0</v>
      </c>
      <c r="W52" s="3"/>
      <c r="X52" s="8">
        <f t="shared" si="6"/>
        <v>40644.080000000002</v>
      </c>
      <c r="Y52" s="3"/>
      <c r="Z52" s="7">
        <f t="shared" si="7"/>
        <v>0</v>
      </c>
    </row>
    <row r="53" spans="1:26" s="70" customFormat="1" ht="15" hidden="1" customHeight="1" outlineLevel="2" x14ac:dyDescent="0.3">
      <c r="A53" s="26"/>
      <c r="B53" s="12" t="str">
        <f>CONCATENATE("          ","6322"," - ","EQUIPMENT DEPRECIATION EXPENSE")</f>
        <v xml:space="preserve">          6322 - EQUIPMENT DEPRECIATION EXPENSE</v>
      </c>
      <c r="C53" s="12"/>
      <c r="D53" s="8">
        <v>390.7</v>
      </c>
      <c r="E53" s="3"/>
      <c r="F53" s="7">
        <f t="shared" si="0"/>
        <v>8.4813204723489851E-3</v>
      </c>
      <c r="G53" s="3"/>
      <c r="H53" s="8">
        <v>5471</v>
      </c>
      <c r="I53" s="3"/>
      <c r="J53" s="7">
        <f t="shared" si="1"/>
        <v>8.1530162136385309E-2</v>
      </c>
      <c r="K53" s="3"/>
      <c r="L53" s="8">
        <f t="shared" si="2"/>
        <v>-5080.3</v>
      </c>
      <c r="M53" s="3"/>
      <c r="N53" s="7">
        <f t="shared" si="3"/>
        <v>-0.92858709559495523</v>
      </c>
      <c r="O53" s="12"/>
      <c r="P53" s="8">
        <v>3125.6</v>
      </c>
      <c r="Q53" s="3"/>
      <c r="R53" s="7">
        <f t="shared" si="4"/>
        <v>2.4687188458123323E-2</v>
      </c>
      <c r="S53" s="3"/>
      <c r="T53" s="8">
        <v>43768</v>
      </c>
      <c r="U53" s="3"/>
      <c r="V53" s="7">
        <f t="shared" si="5"/>
        <v>0.22129974668439709</v>
      </c>
      <c r="W53" s="3"/>
      <c r="X53" s="8">
        <f t="shared" si="6"/>
        <v>-40642.400000000001</v>
      </c>
      <c r="Y53" s="3"/>
      <c r="Z53" s="7">
        <f t="shared" si="7"/>
        <v>-0.92858709559495523</v>
      </c>
    </row>
    <row r="54" spans="1:26" s="69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SUM(OSRRefD22_6x_0)</f>
        <v>0</v>
      </c>
      <c r="E54" s="2"/>
      <c r="F54" s="6">
        <f t="shared" si="0"/>
        <v>0</v>
      </c>
      <c r="G54" s="2"/>
      <c r="H54" s="2">
        <f>SUM(OSRRefH22_6x_0)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SUM(OSRRefP22_6x_0)</f>
        <v>0</v>
      </c>
      <c r="Q54" s="2"/>
      <c r="R54" s="6">
        <f t="shared" si="4"/>
        <v>0</v>
      </c>
      <c r="S54" s="2"/>
      <c r="T54" s="2">
        <f>SUM(OSRRefT22_6x_0)</f>
        <v>50</v>
      </c>
      <c r="U54" s="2"/>
      <c r="V54" s="6">
        <f t="shared" si="5"/>
        <v>2.5280998296060717E-4</v>
      </c>
      <c r="W54" s="2"/>
      <c r="X54" s="2">
        <f t="shared" si="6"/>
        <v>-50</v>
      </c>
      <c r="Y54" s="2"/>
      <c r="Z54" s="6">
        <f t="shared" si="7"/>
        <v>-1</v>
      </c>
    </row>
    <row r="55" spans="1:26" s="70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8"/>
      <c r="E55" s="3"/>
      <c r="F55" s="7">
        <f t="shared" ref="F55:F84" si="8">IF(D$12=0,0,D55/D$12)</f>
        <v>0</v>
      </c>
      <c r="G55" s="3"/>
      <c r="H55" s="8"/>
      <c r="I55" s="3"/>
      <c r="J55" s="7">
        <f t="shared" ref="J55:J84" si="9">IF(H$12=0,0,H55/H$12)</f>
        <v>0</v>
      </c>
      <c r="K55" s="3"/>
      <c r="L55" s="8">
        <f t="shared" ref="L55:L84" si="10">+D55-H55</f>
        <v>0</v>
      </c>
      <c r="M55" s="3"/>
      <c r="N55" s="7">
        <f t="shared" ref="N55:N84" si="11">IF(H55=0,0,L55/H55)</f>
        <v>0</v>
      </c>
      <c r="O55" s="12"/>
      <c r="P55" s="8"/>
      <c r="Q55" s="3"/>
      <c r="R55" s="7">
        <f t="shared" ref="R55:R84" si="12">IF(P$12=0,0,P55/P$12)</f>
        <v>0</v>
      </c>
      <c r="S55" s="3"/>
      <c r="T55" s="8">
        <v>50</v>
      </c>
      <c r="U55" s="3"/>
      <c r="V55" s="7">
        <f t="shared" ref="V55:V84" si="13">IF(T$12=0,0,T55/T$12)</f>
        <v>2.5280998296060717E-4</v>
      </c>
      <c r="W55" s="3"/>
      <c r="X55" s="8">
        <f t="shared" ref="X55:X84" si="14">+P55-T55</f>
        <v>-50</v>
      </c>
      <c r="Y55" s="3"/>
      <c r="Z55" s="7">
        <f t="shared" ref="Z55:Z84" si="15">IF(T55=0,0,X55/T55)</f>
        <v>-1</v>
      </c>
    </row>
    <row r="56" spans="1:26" s="69" customFormat="1" ht="15" customHeight="1" outlineLevel="1" collapsed="1" x14ac:dyDescent="0.3">
      <c r="A56" s="25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SUM(OSRRefD22_7x_0)</f>
        <v>0</v>
      </c>
      <c r="E56" s="2"/>
      <c r="F56" s="6">
        <f t="shared" si="8"/>
        <v>0</v>
      </c>
      <c r="G56" s="2"/>
      <c r="H56" s="2">
        <f>SUM(OSRRefH22_7x_0)</f>
        <v>176</v>
      </c>
      <c r="I56" s="2"/>
      <c r="J56" s="6">
        <f t="shared" si="9"/>
        <v>2.6227944682880307E-3</v>
      </c>
      <c r="K56" s="2"/>
      <c r="L56" s="2">
        <f t="shared" si="10"/>
        <v>-176</v>
      </c>
      <c r="M56" s="2"/>
      <c r="N56" s="6">
        <f t="shared" si="11"/>
        <v>-1</v>
      </c>
      <c r="O56" s="14"/>
      <c r="P56" s="2">
        <f>SUM(OSRRefP22_7x_0)</f>
        <v>0</v>
      </c>
      <c r="Q56" s="2"/>
      <c r="R56" s="6">
        <f t="shared" si="12"/>
        <v>0</v>
      </c>
      <c r="S56" s="2"/>
      <c r="T56" s="2">
        <f>SUM(OSRRefT22_7x_0)</f>
        <v>1408</v>
      </c>
      <c r="U56" s="2"/>
      <c r="V56" s="6">
        <f t="shared" si="13"/>
        <v>7.1191291201706973E-3</v>
      </c>
      <c r="W56" s="2"/>
      <c r="X56" s="2">
        <f t="shared" si="14"/>
        <v>-1408</v>
      </c>
      <c r="Y56" s="2"/>
      <c r="Z56" s="6">
        <f t="shared" si="15"/>
        <v>-1</v>
      </c>
    </row>
    <row r="57" spans="1:26" s="70" customFormat="1" ht="15" hidden="1" customHeight="1" outlineLevel="2" x14ac:dyDescent="0.3">
      <c r="A57" s="26"/>
      <c r="B57" s="12" t="str">
        <f>CONCATENATE("          ","6351"," - ","EQUIPMENT RENTAL")</f>
        <v xml:space="preserve">          6351 - EQUIPMENT RENTAL</v>
      </c>
      <c r="C57" s="12"/>
      <c r="D57" s="8"/>
      <c r="E57" s="3"/>
      <c r="F57" s="7">
        <f t="shared" si="8"/>
        <v>0</v>
      </c>
      <c r="G57" s="3"/>
      <c r="H57" s="8">
        <v>176</v>
      </c>
      <c r="I57" s="3"/>
      <c r="J57" s="7">
        <f t="shared" si="9"/>
        <v>2.6227944682880307E-3</v>
      </c>
      <c r="K57" s="3"/>
      <c r="L57" s="8">
        <f t="shared" si="10"/>
        <v>-176</v>
      </c>
      <c r="M57" s="3"/>
      <c r="N57" s="7">
        <f t="shared" si="11"/>
        <v>-1</v>
      </c>
      <c r="O57" s="12"/>
      <c r="P57" s="8"/>
      <c r="Q57" s="3"/>
      <c r="R57" s="7">
        <f t="shared" si="12"/>
        <v>0</v>
      </c>
      <c r="S57" s="3"/>
      <c r="T57" s="8">
        <v>1408</v>
      </c>
      <c r="U57" s="3"/>
      <c r="V57" s="7">
        <f t="shared" si="13"/>
        <v>7.1191291201706973E-3</v>
      </c>
      <c r="W57" s="3"/>
      <c r="X57" s="8">
        <f t="shared" si="14"/>
        <v>-1408</v>
      </c>
      <c r="Y57" s="3"/>
      <c r="Z57" s="7">
        <f t="shared" si="15"/>
        <v>-1</v>
      </c>
    </row>
    <row r="58" spans="1:26" s="69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SUM(OSRRefP22_8x_0)</f>
        <v>1002.45</v>
      </c>
      <c r="Q58" s="2"/>
      <c r="R58" s="6">
        <f t="shared" si="12"/>
        <v>7.9177348572580398E-3</v>
      </c>
      <c r="S58" s="2"/>
      <c r="T58" s="2">
        <f>SUM(OSRRefT22_8x_0)</f>
        <v>455</v>
      </c>
      <c r="U58" s="2"/>
      <c r="V58" s="6">
        <f t="shared" si="13"/>
        <v>2.3005708449415252E-3</v>
      </c>
      <c r="W58" s="2"/>
      <c r="X58" s="2">
        <f t="shared" si="14"/>
        <v>547.45000000000005</v>
      </c>
      <c r="Y58" s="2"/>
      <c r="Z58" s="6">
        <f t="shared" si="15"/>
        <v>1.2031868131868133</v>
      </c>
    </row>
    <row r="59" spans="1:26" s="70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1002.45</v>
      </c>
      <c r="Q59" s="3"/>
      <c r="R59" s="7">
        <f t="shared" si="12"/>
        <v>7.9177348572580398E-3</v>
      </c>
      <c r="S59" s="3"/>
      <c r="T59" s="8">
        <v>455</v>
      </c>
      <c r="U59" s="3"/>
      <c r="V59" s="7">
        <f t="shared" si="13"/>
        <v>2.3005708449415252E-3</v>
      </c>
      <c r="W59" s="3"/>
      <c r="X59" s="8">
        <f t="shared" si="14"/>
        <v>547.45000000000005</v>
      </c>
      <c r="Y59" s="3"/>
      <c r="Z59" s="7">
        <f t="shared" si="15"/>
        <v>1.2031868131868133</v>
      </c>
    </row>
    <row r="60" spans="1:26" s="69" customFormat="1" ht="15" customHeight="1" outlineLevel="1" collapsed="1" x14ac:dyDescent="0.3">
      <c r="A60" s="25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SUM(OSRRefD22_9x_0)</f>
        <v>331.01</v>
      </c>
      <c r="E60" s="2"/>
      <c r="F60" s="6">
        <f t="shared" si="8"/>
        <v>7.1855692079657984E-3</v>
      </c>
      <c r="G60" s="2"/>
      <c r="H60" s="2">
        <f>SUM(OSRRefH22_9x_0)</f>
        <v>330</v>
      </c>
      <c r="I60" s="2"/>
      <c r="J60" s="6">
        <f t="shared" si="9"/>
        <v>4.9177396280400574E-3</v>
      </c>
      <c r="K60" s="2"/>
      <c r="L60" s="2">
        <f t="shared" si="10"/>
        <v>1.0099999999999909</v>
      </c>
      <c r="M60" s="2"/>
      <c r="N60" s="6">
        <f t="shared" si="11"/>
        <v>3.0606060606060332E-3</v>
      </c>
      <c r="O60" s="14"/>
      <c r="P60" s="2">
        <f>SUM(OSRRefP22_9x_0)</f>
        <v>2648.08</v>
      </c>
      <c r="Q60" s="2"/>
      <c r="R60" s="6">
        <f t="shared" si="12"/>
        <v>2.0915552217874073E-2</v>
      </c>
      <c r="S60" s="2"/>
      <c r="T60" s="2">
        <f>SUM(OSRRefT22_9x_0)</f>
        <v>2640</v>
      </c>
      <c r="U60" s="2"/>
      <c r="V60" s="6">
        <f t="shared" si="13"/>
        <v>1.3348367100320058E-2</v>
      </c>
      <c r="W60" s="2"/>
      <c r="X60" s="2">
        <f t="shared" si="14"/>
        <v>8.0799999999999272</v>
      </c>
      <c r="Y60" s="2"/>
      <c r="Z60" s="6">
        <f t="shared" si="15"/>
        <v>3.0606060606060332E-3</v>
      </c>
    </row>
    <row r="61" spans="1:26" s="70" customFormat="1" ht="15" hidden="1" customHeight="1" outlineLevel="2" x14ac:dyDescent="0.3">
      <c r="A61" s="26"/>
      <c r="B61" s="12" t="str">
        <f>CONCATENATE("          ","6314"," - ","LIABILITY INSURANCE")</f>
        <v xml:space="preserve">          6314 - LIABILITY INSURANCE</v>
      </c>
      <c r="C61" s="12"/>
      <c r="D61" s="8">
        <v>331.01</v>
      </c>
      <c r="E61" s="3"/>
      <c r="F61" s="7">
        <f t="shared" si="8"/>
        <v>7.1855692079657984E-3</v>
      </c>
      <c r="G61" s="3"/>
      <c r="H61" s="8">
        <v>330</v>
      </c>
      <c r="I61" s="3"/>
      <c r="J61" s="7">
        <f t="shared" si="9"/>
        <v>4.9177396280400574E-3</v>
      </c>
      <c r="K61" s="3"/>
      <c r="L61" s="8">
        <f t="shared" si="10"/>
        <v>1.0099999999999909</v>
      </c>
      <c r="M61" s="3"/>
      <c r="N61" s="7">
        <f t="shared" si="11"/>
        <v>3.0606060606060332E-3</v>
      </c>
      <c r="O61" s="12"/>
      <c r="P61" s="8">
        <v>2648.08</v>
      </c>
      <c r="Q61" s="3"/>
      <c r="R61" s="7">
        <f t="shared" si="12"/>
        <v>2.0915552217874073E-2</v>
      </c>
      <c r="S61" s="3"/>
      <c r="T61" s="8">
        <v>2640</v>
      </c>
      <c r="U61" s="3"/>
      <c r="V61" s="7">
        <f t="shared" si="13"/>
        <v>1.3348367100320058E-2</v>
      </c>
      <c r="W61" s="3"/>
      <c r="X61" s="8">
        <f t="shared" si="14"/>
        <v>8.0799999999999272</v>
      </c>
      <c r="Y61" s="3"/>
      <c r="Z61" s="7">
        <f t="shared" si="15"/>
        <v>3.0606060606060332E-3</v>
      </c>
    </row>
    <row r="62" spans="1:26" s="69" customFormat="1" ht="15" customHeight="1" outlineLevel="1" collapsed="1" x14ac:dyDescent="0.3">
      <c r="A62" s="25"/>
      <c r="B62" s="14" t="str">
        <f>CONCATENATE("     ","Interest                                          ")</f>
        <v xml:space="preserve">     Interest                                          </v>
      </c>
      <c r="C62" s="14"/>
      <c r="D62" s="2">
        <f>SUM(OSRRefD22_10x_0)</f>
        <v>3905</v>
      </c>
      <c r="E62" s="2"/>
      <c r="F62" s="6">
        <f t="shared" si="8"/>
        <v>8.4769788698548204E-2</v>
      </c>
      <c r="G62" s="2"/>
      <c r="H62" s="2">
        <f>SUM(OSRRefH22_10x_0)</f>
        <v>3905</v>
      </c>
      <c r="I62" s="2"/>
      <c r="J62" s="6">
        <f t="shared" si="9"/>
        <v>5.8193252265140674E-2</v>
      </c>
      <c r="K62" s="2"/>
      <c r="L62" s="2">
        <f t="shared" si="10"/>
        <v>0</v>
      </c>
      <c r="M62" s="2"/>
      <c r="N62" s="6">
        <f t="shared" si="11"/>
        <v>0</v>
      </c>
      <c r="O62" s="14"/>
      <c r="P62" s="2">
        <f>SUM(OSRRefP22_10x_0)</f>
        <v>30964</v>
      </c>
      <c r="Q62" s="2"/>
      <c r="R62" s="6">
        <f t="shared" si="12"/>
        <v>0.24456555650669651</v>
      </c>
      <c r="S62" s="2"/>
      <c r="T62" s="2">
        <f>SUM(OSRRefT22_10x_0)</f>
        <v>31240</v>
      </c>
      <c r="U62" s="2"/>
      <c r="V62" s="6">
        <f t="shared" si="13"/>
        <v>0.15795567735378735</v>
      </c>
      <c r="W62" s="2"/>
      <c r="X62" s="2">
        <f t="shared" si="14"/>
        <v>-276</v>
      </c>
      <c r="Y62" s="2"/>
      <c r="Z62" s="6">
        <f t="shared" si="15"/>
        <v>-8.8348271446862994E-3</v>
      </c>
    </row>
    <row r="63" spans="1:26" s="70" customFormat="1" ht="15" hidden="1" customHeight="1" outlineLevel="2" x14ac:dyDescent="0.3">
      <c r="A63" s="26"/>
      <c r="B63" s="12" t="str">
        <f>CONCATENATE("          ","6401"," - ","INTEREST EXPENSE")</f>
        <v xml:space="preserve">          6401 - INTEREST EXPENSE</v>
      </c>
      <c r="C63" s="12"/>
      <c r="D63" s="8">
        <v>3905</v>
      </c>
      <c r="E63" s="3"/>
      <c r="F63" s="7">
        <f t="shared" si="8"/>
        <v>8.4769788698548204E-2</v>
      </c>
      <c r="G63" s="3"/>
      <c r="H63" s="8">
        <v>3905</v>
      </c>
      <c r="I63" s="3"/>
      <c r="J63" s="7">
        <f t="shared" si="9"/>
        <v>5.8193252265140674E-2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30964</v>
      </c>
      <c r="Q63" s="3"/>
      <c r="R63" s="7">
        <f t="shared" si="12"/>
        <v>0.24456555650669651</v>
      </c>
      <c r="S63" s="3"/>
      <c r="T63" s="8">
        <v>31240</v>
      </c>
      <c r="U63" s="3"/>
      <c r="V63" s="7">
        <f t="shared" si="13"/>
        <v>0.15795567735378735</v>
      </c>
      <c r="W63" s="3"/>
      <c r="X63" s="8">
        <f t="shared" si="14"/>
        <v>-276</v>
      </c>
      <c r="Y63" s="3"/>
      <c r="Z63" s="7">
        <f t="shared" si="15"/>
        <v>-8.8348271446862994E-3</v>
      </c>
    </row>
    <row r="64" spans="1:26" s="69" customFormat="1" ht="15" customHeight="1" outlineLevel="1" collapsed="1" x14ac:dyDescent="0.3">
      <c r="A64" s="25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SUM(OSRRefD22_11x_0)</f>
        <v>0</v>
      </c>
      <c r="E64" s="2"/>
      <c r="F64" s="6">
        <f t="shared" si="8"/>
        <v>0</v>
      </c>
      <c r="G64" s="2"/>
      <c r="H64" s="2">
        <f>SUM(OSRRefH22_11x_0)</f>
        <v>100</v>
      </c>
      <c r="I64" s="2"/>
      <c r="J64" s="6">
        <f t="shared" si="9"/>
        <v>1.4902241297091083E-3</v>
      </c>
      <c r="K64" s="2"/>
      <c r="L64" s="2">
        <f t="shared" si="10"/>
        <v>-100</v>
      </c>
      <c r="M64" s="2"/>
      <c r="N64" s="6">
        <f t="shared" si="11"/>
        <v>-1</v>
      </c>
      <c r="O64" s="14"/>
      <c r="P64" s="2">
        <f>SUM(OSRRefP22_11x_0)</f>
        <v>2782.59</v>
      </c>
      <c r="Q64" s="2"/>
      <c r="R64" s="6">
        <f t="shared" si="12"/>
        <v>2.1977963825086187E-2</v>
      </c>
      <c r="S64" s="2"/>
      <c r="T64" s="2">
        <f>SUM(OSRRefT22_11x_0)</f>
        <v>5313</v>
      </c>
      <c r="U64" s="2"/>
      <c r="V64" s="6">
        <f t="shared" si="13"/>
        <v>2.6863588789394117E-2</v>
      </c>
      <c r="W64" s="2"/>
      <c r="X64" s="2">
        <f t="shared" si="14"/>
        <v>-2530.41</v>
      </c>
      <c r="Y64" s="2"/>
      <c r="Z64" s="6">
        <f t="shared" si="15"/>
        <v>-0.47626764539808014</v>
      </c>
    </row>
    <row r="65" spans="1:26" s="70" customFormat="1" ht="15" hidden="1" customHeight="1" outlineLevel="2" x14ac:dyDescent="0.3">
      <c r="A65" s="26"/>
      <c r="B65" s="12" t="str">
        <f>CONCATENATE("          ","6371"," - ","COMPUTER SOFTWARE MAINTENANCE")</f>
        <v xml:space="preserve">          6371 - COMPUTER SOFTWARE MAINTENANCE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/>
      <c r="Q65" s="3"/>
      <c r="R65" s="7">
        <f t="shared" si="12"/>
        <v>0</v>
      </c>
      <c r="S65" s="3"/>
      <c r="T65" s="8">
        <v>2623</v>
      </c>
      <c r="U65" s="3"/>
      <c r="V65" s="7">
        <f t="shared" si="13"/>
        <v>1.3262411706113451E-2</v>
      </c>
      <c r="W65" s="3"/>
      <c r="X65" s="8">
        <f t="shared" si="14"/>
        <v>-2623</v>
      </c>
      <c r="Y65" s="3"/>
      <c r="Z65" s="7">
        <f t="shared" si="15"/>
        <v>-1</v>
      </c>
    </row>
    <row r="66" spans="1:26" s="70" customFormat="1" ht="15" hidden="1" customHeight="1" outlineLevel="2" x14ac:dyDescent="0.3">
      <c r="A66" s="26"/>
      <c r="B66" s="12" t="str">
        <f>CONCATENATE("          ","6373"," - ","MAINTENANCE CONTRACTS")</f>
        <v xml:space="preserve">          6373 - MAINTENANCE CONTRACTS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621.34</v>
      </c>
      <c r="Q66" s="3"/>
      <c r="R66" s="7">
        <f t="shared" si="12"/>
        <v>4.9075818007967582E-3</v>
      </c>
      <c r="S66" s="3"/>
      <c r="T66" s="8">
        <v>260</v>
      </c>
      <c r="U66" s="3"/>
      <c r="V66" s="7">
        <f t="shared" si="13"/>
        <v>1.3146119113951571E-3</v>
      </c>
      <c r="W66" s="3"/>
      <c r="X66" s="8">
        <f t="shared" si="14"/>
        <v>361.34000000000003</v>
      </c>
      <c r="Y66" s="3"/>
      <c r="Z66" s="7">
        <f t="shared" si="15"/>
        <v>1.3897692307692309</v>
      </c>
    </row>
    <row r="67" spans="1:26" s="70" customFormat="1" ht="15" hidden="1" customHeight="1" outlineLevel="2" x14ac:dyDescent="0.3">
      <c r="A67" s="26"/>
      <c r="B67" s="12" t="str">
        <f>CONCATENATE("          ","6375"," - ","OUTSIDE REPAIRS &amp; MAINTENANCE")</f>
        <v xml:space="preserve">          6375 - OUTSIDE REPAIRS &amp; MAINTENANCE</v>
      </c>
      <c r="C67" s="12"/>
      <c r="D67" s="8"/>
      <c r="E67" s="3"/>
      <c r="F67" s="7">
        <f t="shared" si="8"/>
        <v>0</v>
      </c>
      <c r="G67" s="3"/>
      <c r="H67" s="8">
        <v>100</v>
      </c>
      <c r="I67" s="3"/>
      <c r="J67" s="7">
        <f t="shared" si="9"/>
        <v>1.4902241297091083E-3</v>
      </c>
      <c r="K67" s="3"/>
      <c r="L67" s="8">
        <f t="shared" si="10"/>
        <v>-100</v>
      </c>
      <c r="M67" s="3"/>
      <c r="N67" s="7">
        <f t="shared" si="11"/>
        <v>-1</v>
      </c>
      <c r="O67" s="12"/>
      <c r="P67" s="8">
        <v>2161.25</v>
      </c>
      <c r="Q67" s="3"/>
      <c r="R67" s="7">
        <f t="shared" si="12"/>
        <v>1.7070382024289427E-2</v>
      </c>
      <c r="S67" s="3"/>
      <c r="T67" s="8">
        <v>2430</v>
      </c>
      <c r="U67" s="3"/>
      <c r="V67" s="7">
        <f t="shared" si="13"/>
        <v>1.2286565171885507E-2</v>
      </c>
      <c r="W67" s="3"/>
      <c r="X67" s="8">
        <f t="shared" si="14"/>
        <v>-268.75</v>
      </c>
      <c r="Y67" s="3"/>
      <c r="Z67" s="7">
        <f t="shared" si="15"/>
        <v>-0.11059670781893004</v>
      </c>
    </row>
    <row r="68" spans="1:26" s="69" customFormat="1" ht="15" customHeight="1" outlineLevel="1" collapsed="1" x14ac:dyDescent="0.3">
      <c r="A68" s="25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SUM(OSRRefD22_12x_0)</f>
        <v>225.48000000000002</v>
      </c>
      <c r="E68" s="2"/>
      <c r="F68" s="6">
        <f t="shared" si="8"/>
        <v>4.8947226519202693E-3</v>
      </c>
      <c r="G68" s="2"/>
      <c r="H68" s="2">
        <f>SUM(OSRRefH22_12x_0)</f>
        <v>192</v>
      </c>
      <c r="I68" s="2"/>
      <c r="J68" s="6">
        <f t="shared" si="9"/>
        <v>2.8612303290414878E-3</v>
      </c>
      <c r="K68" s="2"/>
      <c r="L68" s="2">
        <f t="shared" si="10"/>
        <v>33.480000000000018</v>
      </c>
      <c r="M68" s="2"/>
      <c r="N68" s="6">
        <f t="shared" si="11"/>
        <v>0.17437500000000009</v>
      </c>
      <c r="O68" s="14"/>
      <c r="P68" s="2">
        <f>SUM(OSRRefP22_12x_0)</f>
        <v>9005.36</v>
      </c>
      <c r="Q68" s="2"/>
      <c r="R68" s="6">
        <f t="shared" si="12"/>
        <v>7.1127789689418186E-2</v>
      </c>
      <c r="S68" s="2"/>
      <c r="T68" s="2">
        <f>SUM(OSRRefT22_12x_0)</f>
        <v>1353</v>
      </c>
      <c r="U68" s="2"/>
      <c r="V68" s="6">
        <f t="shared" si="13"/>
        <v>6.8410381389140294E-3</v>
      </c>
      <c r="W68" s="2"/>
      <c r="X68" s="2">
        <f t="shared" si="14"/>
        <v>7652.3600000000006</v>
      </c>
      <c r="Y68" s="2"/>
      <c r="Z68" s="6">
        <f t="shared" si="15"/>
        <v>5.655846267553585</v>
      </c>
    </row>
    <row r="69" spans="1:26" s="70" customFormat="1" ht="15" hidden="1" customHeight="1" outlineLevel="2" x14ac:dyDescent="0.3">
      <c r="A69" s="26"/>
      <c r="B69" s="12" t="str">
        <f>CONCATENATE("          ","6282"," - ","JANITORIAL/EXTERMINATOR EXPENS")</f>
        <v xml:space="preserve">          6282 - JANITORIAL/EXTERMINATOR EXPENS</v>
      </c>
      <c r="C69" s="12"/>
      <c r="D69" s="8">
        <v>168.4</v>
      </c>
      <c r="E69" s="3"/>
      <c r="F69" s="7">
        <f t="shared" si="8"/>
        <v>3.6556293000859202E-3</v>
      </c>
      <c r="G69" s="3"/>
      <c r="H69" s="8">
        <v>158</v>
      </c>
      <c r="I69" s="3"/>
      <c r="J69" s="7">
        <f t="shared" si="9"/>
        <v>2.354554124940391E-3</v>
      </c>
      <c r="K69" s="3"/>
      <c r="L69" s="8">
        <f t="shared" si="10"/>
        <v>10.400000000000006</v>
      </c>
      <c r="M69" s="3"/>
      <c r="N69" s="7">
        <f t="shared" si="11"/>
        <v>6.5822784810126614E-2</v>
      </c>
      <c r="O69" s="12"/>
      <c r="P69" s="8">
        <v>1178.8</v>
      </c>
      <c r="Q69" s="3"/>
      <c r="R69" s="7">
        <f t="shared" si="12"/>
        <v>9.3106148433695201E-3</v>
      </c>
      <c r="S69" s="3"/>
      <c r="T69" s="8">
        <v>1106</v>
      </c>
      <c r="U69" s="3"/>
      <c r="V69" s="7">
        <f t="shared" si="13"/>
        <v>5.5921568230886303E-3</v>
      </c>
      <c r="W69" s="3"/>
      <c r="X69" s="8">
        <f t="shared" si="14"/>
        <v>72.799999999999955</v>
      </c>
      <c r="Y69" s="3"/>
      <c r="Z69" s="7">
        <f t="shared" si="15"/>
        <v>6.5822784810126544E-2</v>
      </c>
    </row>
    <row r="70" spans="1:26" s="70" customFormat="1" ht="15" hidden="1" customHeight="1" outlineLevel="2" x14ac:dyDescent="0.3">
      <c r="A70" s="26"/>
      <c r="B70" s="12" t="str">
        <f>CONCATENATE("          ","6285"," - ","JANITORIAL SERVICES")</f>
        <v xml:space="preserve">          6285 - JANITORIAL SERVICES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7229.52</v>
      </c>
      <c r="Q70" s="3"/>
      <c r="R70" s="7">
        <f t="shared" si="12"/>
        <v>5.7101523772002734E-2</v>
      </c>
      <c r="S70" s="3"/>
      <c r="T70" s="8"/>
      <c r="U70" s="3"/>
      <c r="V70" s="7">
        <f t="shared" si="13"/>
        <v>0</v>
      </c>
      <c r="W70" s="3"/>
      <c r="X70" s="8">
        <f t="shared" si="14"/>
        <v>7229.52</v>
      </c>
      <c r="Y70" s="3"/>
      <c r="Z70" s="7">
        <f t="shared" si="15"/>
        <v>0</v>
      </c>
    </row>
    <row r="71" spans="1:26" s="70" customFormat="1" ht="15" hidden="1" customHeight="1" outlineLevel="2" x14ac:dyDescent="0.3">
      <c r="A71" s="26"/>
      <c r="B71" s="12" t="str">
        <f>CONCATENATE("          ","6286"," - ","LAUNDRY EXPENSE")</f>
        <v xml:space="preserve">          6286 - LAUNDRY EXPENSE</v>
      </c>
      <c r="C71" s="12"/>
      <c r="D71" s="8">
        <v>57.08</v>
      </c>
      <c r="E71" s="3"/>
      <c r="F71" s="7">
        <f t="shared" si="8"/>
        <v>1.2390933518343487E-3</v>
      </c>
      <c r="G71" s="3"/>
      <c r="H71" s="8">
        <v>34</v>
      </c>
      <c r="I71" s="3"/>
      <c r="J71" s="7">
        <f t="shared" si="9"/>
        <v>5.0667620410109677E-4</v>
      </c>
      <c r="K71" s="3"/>
      <c r="L71" s="8">
        <f t="shared" si="10"/>
        <v>23.08</v>
      </c>
      <c r="M71" s="3"/>
      <c r="N71" s="7">
        <f t="shared" si="11"/>
        <v>0.6788235294117646</v>
      </c>
      <c r="O71" s="12"/>
      <c r="P71" s="8">
        <v>597.04</v>
      </c>
      <c r="Q71" s="3"/>
      <c r="R71" s="7">
        <f t="shared" si="12"/>
        <v>4.7156510740459269E-3</v>
      </c>
      <c r="S71" s="3"/>
      <c r="T71" s="8">
        <v>247</v>
      </c>
      <c r="U71" s="3"/>
      <c r="V71" s="7">
        <f t="shared" si="13"/>
        <v>1.2488813158253993E-3</v>
      </c>
      <c r="W71" s="3"/>
      <c r="X71" s="8">
        <f t="shared" si="14"/>
        <v>350.03999999999996</v>
      </c>
      <c r="Y71" s="3"/>
      <c r="Z71" s="7">
        <f t="shared" si="15"/>
        <v>1.4171659919028339</v>
      </c>
    </row>
    <row r="72" spans="1:26" s="69" customFormat="1" ht="15" customHeight="1" outlineLevel="1" collapsed="1" x14ac:dyDescent="0.3">
      <c r="A72" s="25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SUM(OSRRefD22_13x_0)</f>
        <v>292.68</v>
      </c>
      <c r="E72" s="2"/>
      <c r="F72" s="6">
        <f t="shared" si="8"/>
        <v>6.3535010899593057E-3</v>
      </c>
      <c r="G72" s="2"/>
      <c r="H72" s="2">
        <f>SUM(OSRRefH22_13x_0)</f>
        <v>1700</v>
      </c>
      <c r="I72" s="2"/>
      <c r="J72" s="6">
        <f t="shared" si="9"/>
        <v>2.5333810205054839E-2</v>
      </c>
      <c r="K72" s="2"/>
      <c r="L72" s="2">
        <f t="shared" si="10"/>
        <v>-1407.32</v>
      </c>
      <c r="M72" s="2"/>
      <c r="N72" s="6">
        <f t="shared" si="11"/>
        <v>-0.827835294117647</v>
      </c>
      <c r="O72" s="14"/>
      <c r="P72" s="2">
        <f>SUM(OSRRefP22_13x_0)</f>
        <v>2077.3200000000002</v>
      </c>
      <c r="Q72" s="2"/>
      <c r="R72" s="6">
        <f t="shared" si="12"/>
        <v>1.6407470670536457E-2</v>
      </c>
      <c r="S72" s="2"/>
      <c r="T72" s="2">
        <f>SUM(OSRRefT22_13x_0)</f>
        <v>8700</v>
      </c>
      <c r="U72" s="2"/>
      <c r="V72" s="6">
        <f t="shared" si="13"/>
        <v>4.3988937035145642E-2</v>
      </c>
      <c r="W72" s="2"/>
      <c r="X72" s="2">
        <f t="shared" si="14"/>
        <v>-6622.68</v>
      </c>
      <c r="Y72" s="2"/>
      <c r="Z72" s="6">
        <f t="shared" si="15"/>
        <v>-0.76122758620689657</v>
      </c>
    </row>
    <row r="73" spans="1:26" s="70" customFormat="1" ht="15" hidden="1" customHeight="1" outlineLevel="2" x14ac:dyDescent="0.3">
      <c r="A73" s="26"/>
      <c r="B73" s="12" t="str">
        <f>CONCATENATE("          ","6234"," - ","EXPENDABLE SUPPLIES &amp; EQUIPMEN")</f>
        <v xml:space="preserve">          6234 - EXPENDABLE SUPPLIES &amp; EQUIPMEN</v>
      </c>
      <c r="C73" s="12"/>
      <c r="D73" s="8"/>
      <c r="E73" s="3"/>
      <c r="F73" s="7">
        <f t="shared" si="8"/>
        <v>0</v>
      </c>
      <c r="G73" s="3"/>
      <c r="H73" s="8">
        <v>50</v>
      </c>
      <c r="I73" s="3"/>
      <c r="J73" s="7">
        <f t="shared" si="9"/>
        <v>7.4511206485455416E-4</v>
      </c>
      <c r="K73" s="3"/>
      <c r="L73" s="8">
        <f t="shared" si="10"/>
        <v>-50</v>
      </c>
      <c r="M73" s="3"/>
      <c r="N73" s="7">
        <f t="shared" si="11"/>
        <v>-1</v>
      </c>
      <c r="O73" s="12"/>
      <c r="P73" s="8"/>
      <c r="Q73" s="3"/>
      <c r="R73" s="7">
        <f t="shared" si="12"/>
        <v>0</v>
      </c>
      <c r="S73" s="3"/>
      <c r="T73" s="8">
        <v>650</v>
      </c>
      <c r="U73" s="3"/>
      <c r="V73" s="7">
        <f t="shared" si="13"/>
        <v>3.2865297784878929E-3</v>
      </c>
      <c r="W73" s="3"/>
      <c r="X73" s="8">
        <f t="shared" si="14"/>
        <v>-650</v>
      </c>
      <c r="Y73" s="3"/>
      <c r="Z73" s="7">
        <f t="shared" si="15"/>
        <v>-1</v>
      </c>
    </row>
    <row r="74" spans="1:26" s="70" customFormat="1" ht="15" hidden="1" customHeight="1" outlineLevel="2" x14ac:dyDescent="0.3">
      <c r="A74" s="26"/>
      <c r="B74" s="12" t="str">
        <f>CONCATENATE("          ","6237"," - ","JANITORIAL SUPPLIES")</f>
        <v xml:space="preserve">          6237 - JANITORIAL SUPPLIES</v>
      </c>
      <c r="C74" s="12"/>
      <c r="D74" s="8">
        <v>31.68</v>
      </c>
      <c r="E74" s="3"/>
      <c r="F74" s="7">
        <f t="shared" si="8"/>
        <v>6.8770983507554604E-4</v>
      </c>
      <c r="G74" s="3"/>
      <c r="H74" s="8">
        <v>50</v>
      </c>
      <c r="I74" s="3"/>
      <c r="J74" s="7">
        <f t="shared" si="9"/>
        <v>7.4511206485455416E-4</v>
      </c>
      <c r="K74" s="3"/>
      <c r="L74" s="8">
        <f t="shared" si="10"/>
        <v>-18.32</v>
      </c>
      <c r="M74" s="3"/>
      <c r="N74" s="7">
        <f t="shared" si="11"/>
        <v>-0.3664</v>
      </c>
      <c r="O74" s="12"/>
      <c r="P74" s="8">
        <v>648.57000000000005</v>
      </c>
      <c r="Q74" s="3"/>
      <c r="R74" s="7">
        <f t="shared" si="12"/>
        <v>5.1226547921311254E-3</v>
      </c>
      <c r="S74" s="3"/>
      <c r="T74" s="8">
        <v>200</v>
      </c>
      <c r="U74" s="3"/>
      <c r="V74" s="7">
        <f t="shared" si="13"/>
        <v>1.0112399318424287E-3</v>
      </c>
      <c r="W74" s="3"/>
      <c r="X74" s="8">
        <f t="shared" si="14"/>
        <v>448.57000000000005</v>
      </c>
      <c r="Y74" s="3"/>
      <c r="Z74" s="7">
        <f t="shared" si="15"/>
        <v>2.2428500000000002</v>
      </c>
    </row>
    <row r="75" spans="1:26" s="70" customFormat="1" ht="15" hidden="1" customHeight="1" outlineLevel="2" x14ac:dyDescent="0.3">
      <c r="A75" s="26"/>
      <c r="B75" s="12" t="str">
        <f>CONCATENATE("          ","6241"," - ","OFFICE EXPENSE")</f>
        <v xml:space="preserve">          6241 - OFFICE EXPENSE</v>
      </c>
      <c r="C75" s="12"/>
      <c r="D75" s="8">
        <v>86.1</v>
      </c>
      <c r="E75" s="3"/>
      <c r="F75" s="7">
        <f t="shared" si="8"/>
        <v>1.8690598737375161E-3</v>
      </c>
      <c r="G75" s="3"/>
      <c r="H75" s="8"/>
      <c r="I75" s="3"/>
      <c r="J75" s="7">
        <f t="shared" si="9"/>
        <v>0</v>
      </c>
      <c r="K75" s="3"/>
      <c r="L75" s="8">
        <f t="shared" si="10"/>
        <v>86.1</v>
      </c>
      <c r="M75" s="3"/>
      <c r="N75" s="7">
        <f t="shared" si="11"/>
        <v>0</v>
      </c>
      <c r="O75" s="12"/>
      <c r="P75" s="8">
        <v>427.98</v>
      </c>
      <c r="Q75" s="3"/>
      <c r="R75" s="7">
        <f t="shared" si="12"/>
        <v>3.3803503059596941E-3</v>
      </c>
      <c r="S75" s="3"/>
      <c r="T75" s="8"/>
      <c r="U75" s="3"/>
      <c r="V75" s="7">
        <f t="shared" si="13"/>
        <v>0</v>
      </c>
      <c r="W75" s="3"/>
      <c r="X75" s="8">
        <f t="shared" si="14"/>
        <v>427.98</v>
      </c>
      <c r="Y75" s="3"/>
      <c r="Z75" s="7">
        <f t="shared" si="15"/>
        <v>0</v>
      </c>
    </row>
    <row r="76" spans="1:26" s="70" customFormat="1" ht="15" hidden="1" customHeight="1" outlineLevel="2" x14ac:dyDescent="0.3">
      <c r="A76" s="26"/>
      <c r="B76" s="12" t="str">
        <f>CONCATENATE("          ","6243"," - ","PAPER SUPPLIES")</f>
        <v xml:space="preserve">          6243 - PAPER SUPPLIES</v>
      </c>
      <c r="C76" s="12"/>
      <c r="D76" s="8"/>
      <c r="E76" s="3"/>
      <c r="F76" s="7">
        <f t="shared" si="8"/>
        <v>0</v>
      </c>
      <c r="G76" s="3"/>
      <c r="H76" s="8">
        <v>200</v>
      </c>
      <c r="I76" s="3"/>
      <c r="J76" s="7">
        <f t="shared" si="9"/>
        <v>2.9804482594182166E-3</v>
      </c>
      <c r="K76" s="3"/>
      <c r="L76" s="8">
        <f t="shared" si="10"/>
        <v>-200</v>
      </c>
      <c r="M76" s="3"/>
      <c r="N76" s="7">
        <f t="shared" si="11"/>
        <v>-1</v>
      </c>
      <c r="O76" s="12"/>
      <c r="P76" s="8">
        <v>44.38</v>
      </c>
      <c r="Q76" s="3"/>
      <c r="R76" s="7">
        <f t="shared" si="12"/>
        <v>3.5053027379431572E-4</v>
      </c>
      <c r="S76" s="3"/>
      <c r="T76" s="8">
        <v>1400</v>
      </c>
      <c r="U76" s="3"/>
      <c r="V76" s="7">
        <f t="shared" si="13"/>
        <v>7.0786795228970001E-3</v>
      </c>
      <c r="W76" s="3"/>
      <c r="X76" s="8">
        <f t="shared" si="14"/>
        <v>-1355.62</v>
      </c>
      <c r="Y76" s="3"/>
      <c r="Z76" s="7">
        <f t="shared" si="15"/>
        <v>-0.96829999999999994</v>
      </c>
    </row>
    <row r="77" spans="1:26" s="70" customFormat="1" ht="15" hidden="1" customHeight="1" outlineLevel="2" x14ac:dyDescent="0.3">
      <c r="A77" s="26"/>
      <c r="B77" s="12" t="str">
        <f>CONCATENATE("          ","6247"," - ","STORE SUPPLIES")</f>
        <v xml:space="preserve">          6247 - STORE SUPPLIES</v>
      </c>
      <c r="C77" s="12"/>
      <c r="D77" s="8">
        <v>174.9</v>
      </c>
      <c r="E77" s="3"/>
      <c r="F77" s="7">
        <f t="shared" si="8"/>
        <v>3.7967313811462437E-3</v>
      </c>
      <c r="G77" s="3"/>
      <c r="H77" s="8">
        <v>1400</v>
      </c>
      <c r="I77" s="3"/>
      <c r="J77" s="7">
        <f t="shared" si="9"/>
        <v>2.0863137815927517E-2</v>
      </c>
      <c r="K77" s="3"/>
      <c r="L77" s="8">
        <f t="shared" si="10"/>
        <v>-1225.0999999999999</v>
      </c>
      <c r="M77" s="3"/>
      <c r="N77" s="7">
        <f t="shared" si="11"/>
        <v>-0.8750714285714285</v>
      </c>
      <c r="O77" s="12"/>
      <c r="P77" s="8">
        <v>956.39</v>
      </c>
      <c r="Q77" s="3"/>
      <c r="R77" s="7">
        <f t="shared" si="12"/>
        <v>7.5539352986513193E-3</v>
      </c>
      <c r="S77" s="3"/>
      <c r="T77" s="8">
        <v>6450</v>
      </c>
      <c r="U77" s="3"/>
      <c r="V77" s="7">
        <f t="shared" si="13"/>
        <v>3.2612487801918319E-2</v>
      </c>
      <c r="W77" s="3"/>
      <c r="X77" s="8">
        <f t="shared" si="14"/>
        <v>-5493.61</v>
      </c>
      <c r="Y77" s="3"/>
      <c r="Z77" s="7">
        <f t="shared" si="15"/>
        <v>-0.85172248062015499</v>
      </c>
    </row>
    <row r="78" spans="1:26" s="69" customFormat="1" ht="15" customHeight="1" outlineLevel="1" collapsed="1" x14ac:dyDescent="0.3">
      <c r="A78" s="25"/>
      <c r="B78" s="14" t="str">
        <f>CONCATENATE("     ","Telephone/Data Lines                              ")</f>
        <v xml:space="preserve">     Telephone/Data Lines                              </v>
      </c>
      <c r="C78" s="14"/>
      <c r="D78" s="2">
        <f>SUM(OSRRefD22_14x_0)</f>
        <v>97</v>
      </c>
      <c r="E78" s="2"/>
      <c r="F78" s="6">
        <f t="shared" si="8"/>
        <v>2.1056772096694435E-3</v>
      </c>
      <c r="G78" s="2"/>
      <c r="H78" s="2">
        <f>SUM(OSRRefH22_14x_0)</f>
        <v>125</v>
      </c>
      <c r="I78" s="2"/>
      <c r="J78" s="6">
        <f t="shared" si="9"/>
        <v>1.8627801621363853E-3</v>
      </c>
      <c r="K78" s="2"/>
      <c r="L78" s="2">
        <f t="shared" si="10"/>
        <v>-28</v>
      </c>
      <c r="M78" s="2"/>
      <c r="N78" s="6">
        <f t="shared" si="11"/>
        <v>-0.224</v>
      </c>
      <c r="O78" s="14"/>
      <c r="P78" s="2">
        <f>SUM(OSRRefP22_14x_0)</f>
        <v>411</v>
      </c>
      <c r="Q78" s="2"/>
      <c r="R78" s="6">
        <f t="shared" si="12"/>
        <v>3.2462357487486196E-3</v>
      </c>
      <c r="S78" s="2"/>
      <c r="T78" s="2">
        <f>SUM(OSRRefT22_14x_0)</f>
        <v>1000</v>
      </c>
      <c r="U78" s="2"/>
      <c r="V78" s="6">
        <f t="shared" si="13"/>
        <v>5.0561996592121431E-3</v>
      </c>
      <c r="W78" s="2"/>
      <c r="X78" s="2">
        <f t="shared" si="14"/>
        <v>-589</v>
      </c>
      <c r="Y78" s="2"/>
      <c r="Z78" s="6">
        <f t="shared" si="15"/>
        <v>-0.58899999999999997</v>
      </c>
    </row>
    <row r="79" spans="1:26" s="70" customFormat="1" ht="15" hidden="1" customHeight="1" outlineLevel="2" x14ac:dyDescent="0.3">
      <c r="A79" s="26"/>
      <c r="B79" s="12" t="str">
        <f>CONCATENATE("          ","6303"," - ","DATA PHONE LINES")</f>
        <v xml:space="preserve">          6303 - DATA PHONE LINES</v>
      </c>
      <c r="C79" s="12"/>
      <c r="D79" s="8"/>
      <c r="E79" s="3"/>
      <c r="F79" s="7">
        <f t="shared" si="8"/>
        <v>0</v>
      </c>
      <c r="G79" s="3"/>
      <c r="H79" s="8">
        <v>50</v>
      </c>
      <c r="I79" s="3"/>
      <c r="J79" s="7">
        <f t="shared" si="9"/>
        <v>7.4511206485455416E-4</v>
      </c>
      <c r="K79" s="3"/>
      <c r="L79" s="8">
        <f t="shared" si="10"/>
        <v>-50</v>
      </c>
      <c r="M79" s="3"/>
      <c r="N79" s="7">
        <f t="shared" si="11"/>
        <v>-1</v>
      </c>
      <c r="O79" s="12"/>
      <c r="P79" s="8"/>
      <c r="Q79" s="3"/>
      <c r="R79" s="7">
        <f t="shared" si="12"/>
        <v>0</v>
      </c>
      <c r="S79" s="3"/>
      <c r="T79" s="8">
        <v>400</v>
      </c>
      <c r="U79" s="3"/>
      <c r="V79" s="7">
        <f t="shared" si="13"/>
        <v>2.0224798636848573E-3</v>
      </c>
      <c r="W79" s="3"/>
      <c r="X79" s="8">
        <f t="shared" si="14"/>
        <v>-400</v>
      </c>
      <c r="Y79" s="3"/>
      <c r="Z79" s="7">
        <f t="shared" si="15"/>
        <v>-1</v>
      </c>
    </row>
    <row r="80" spans="1:26" s="70" customFormat="1" ht="15" hidden="1" customHeight="1" outlineLevel="2" x14ac:dyDescent="0.3">
      <c r="A80" s="26"/>
      <c r="B80" s="12" t="str">
        <f>CONCATENATE("          ","6309"," - ","TELEPHONE")</f>
        <v xml:space="preserve">          6309 - TELEPHONE</v>
      </c>
      <c r="C80" s="12"/>
      <c r="D80" s="8">
        <v>97</v>
      </c>
      <c r="E80" s="3"/>
      <c r="F80" s="7">
        <f t="shared" si="8"/>
        <v>2.1056772096694435E-3</v>
      </c>
      <c r="G80" s="3"/>
      <c r="H80" s="8">
        <v>75</v>
      </c>
      <c r="I80" s="3"/>
      <c r="J80" s="7">
        <f t="shared" si="9"/>
        <v>1.1176680972818313E-3</v>
      </c>
      <c r="K80" s="3"/>
      <c r="L80" s="8">
        <f t="shared" si="10"/>
        <v>22</v>
      </c>
      <c r="M80" s="3"/>
      <c r="N80" s="7">
        <f t="shared" si="11"/>
        <v>0.29333333333333333</v>
      </c>
      <c r="O80" s="12"/>
      <c r="P80" s="8">
        <v>411</v>
      </c>
      <c r="Q80" s="3"/>
      <c r="R80" s="7">
        <f t="shared" si="12"/>
        <v>3.2462357487486196E-3</v>
      </c>
      <c r="S80" s="3"/>
      <c r="T80" s="8">
        <v>600</v>
      </c>
      <c r="U80" s="3"/>
      <c r="V80" s="7">
        <f t="shared" si="13"/>
        <v>3.0337197955272858E-3</v>
      </c>
      <c r="W80" s="3"/>
      <c r="X80" s="8">
        <f t="shared" si="14"/>
        <v>-189</v>
      </c>
      <c r="Y80" s="3"/>
      <c r="Z80" s="7">
        <f t="shared" si="15"/>
        <v>-0.315</v>
      </c>
    </row>
    <row r="81" spans="1:26" s="69" customFormat="1" ht="15" customHeight="1" outlineLevel="1" collapsed="1" x14ac:dyDescent="0.3">
      <c r="A81" s="25"/>
      <c r="B81" s="14" t="str">
        <f>CONCATENATE("     ","Training                                          ")</f>
        <v xml:space="preserve">     Training                                          </v>
      </c>
      <c r="C81" s="14"/>
      <c r="D81" s="2">
        <f>SUM(OSRRefD22_15x_0)</f>
        <v>120</v>
      </c>
      <c r="E81" s="2"/>
      <c r="F81" s="6">
        <f t="shared" si="8"/>
        <v>2.6049614964982802E-3</v>
      </c>
      <c r="G81" s="2"/>
      <c r="H81" s="2">
        <f>SUM(OSRRefH22_15x_0)</f>
        <v>0</v>
      </c>
      <c r="I81" s="2"/>
      <c r="J81" s="6">
        <f t="shared" si="9"/>
        <v>0</v>
      </c>
      <c r="K81" s="2"/>
      <c r="L81" s="2">
        <f t="shared" si="10"/>
        <v>120</v>
      </c>
      <c r="M81" s="2"/>
      <c r="N81" s="6">
        <f t="shared" si="11"/>
        <v>0</v>
      </c>
      <c r="O81" s="14"/>
      <c r="P81" s="2">
        <f>SUM(OSRRefP22_15x_0)</f>
        <v>120</v>
      </c>
      <c r="Q81" s="2"/>
      <c r="R81" s="6">
        <f t="shared" si="12"/>
        <v>9.4780605802879405E-4</v>
      </c>
      <c r="S81" s="2"/>
      <c r="T81" s="2">
        <f>SUM(OSRRefT22_15x_0)</f>
        <v>0</v>
      </c>
      <c r="U81" s="2"/>
      <c r="V81" s="6">
        <f t="shared" si="13"/>
        <v>0</v>
      </c>
      <c r="W81" s="2"/>
      <c r="X81" s="2">
        <f t="shared" si="14"/>
        <v>120</v>
      </c>
      <c r="Y81" s="2"/>
      <c r="Z81" s="6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","6376"," - ","TRAINING")</f>
        <v xml:space="preserve">          6376 - TRAINING</v>
      </c>
      <c r="C82" s="12"/>
      <c r="D82" s="8">
        <v>120</v>
      </c>
      <c r="E82" s="3"/>
      <c r="F82" s="7">
        <f t="shared" si="8"/>
        <v>2.6049614964982802E-3</v>
      </c>
      <c r="G82" s="3"/>
      <c r="H82" s="8"/>
      <c r="I82" s="3"/>
      <c r="J82" s="7">
        <f t="shared" si="9"/>
        <v>0</v>
      </c>
      <c r="K82" s="3"/>
      <c r="L82" s="8">
        <f t="shared" si="10"/>
        <v>120</v>
      </c>
      <c r="M82" s="3"/>
      <c r="N82" s="7">
        <f t="shared" si="11"/>
        <v>0</v>
      </c>
      <c r="O82" s="12"/>
      <c r="P82" s="8">
        <v>120</v>
      </c>
      <c r="Q82" s="3"/>
      <c r="R82" s="7">
        <f t="shared" si="12"/>
        <v>9.4780605802879405E-4</v>
      </c>
      <c r="S82" s="3"/>
      <c r="T82" s="8"/>
      <c r="U82" s="3"/>
      <c r="V82" s="7">
        <f t="shared" si="13"/>
        <v>0</v>
      </c>
      <c r="W82" s="3"/>
      <c r="X82" s="8">
        <f t="shared" si="14"/>
        <v>120</v>
      </c>
      <c r="Y82" s="3"/>
      <c r="Z82" s="7">
        <f t="shared" si="15"/>
        <v>0</v>
      </c>
    </row>
    <row r="83" spans="1:26" s="69" customFormat="1" ht="15" customHeight="1" outlineLevel="1" collapsed="1" x14ac:dyDescent="0.3">
      <c r="A83" s="25"/>
      <c r="B83" s="14" t="str">
        <f>CONCATENATE("     ","Utilities                                         ")</f>
        <v xml:space="preserve">     Utilities                                         </v>
      </c>
      <c r="C83" s="14"/>
      <c r="D83" s="2">
        <f>SUM(OSRRefD22_16x_0)</f>
        <v>100</v>
      </c>
      <c r="E83" s="2"/>
      <c r="F83" s="6">
        <f t="shared" si="8"/>
        <v>2.1708012470819005E-3</v>
      </c>
      <c r="G83" s="2"/>
      <c r="H83" s="2">
        <f>SUM(OSRRefH22_16x_0)</f>
        <v>0</v>
      </c>
      <c r="I83" s="2"/>
      <c r="J83" s="6">
        <f t="shared" si="9"/>
        <v>0</v>
      </c>
      <c r="K83" s="2"/>
      <c r="L83" s="2">
        <f t="shared" si="10"/>
        <v>100</v>
      </c>
      <c r="M83" s="2"/>
      <c r="N83" s="6">
        <f t="shared" si="11"/>
        <v>0</v>
      </c>
      <c r="O83" s="14"/>
      <c r="P83" s="2">
        <f>SUM(OSRRefP22_16x_0)</f>
        <v>800</v>
      </c>
      <c r="Q83" s="2"/>
      <c r="R83" s="6">
        <f t="shared" si="12"/>
        <v>6.3187070535252942E-3</v>
      </c>
      <c r="S83" s="2"/>
      <c r="T83" s="2">
        <f>SUM(OSRRefT22_16x_0)</f>
        <v>0</v>
      </c>
      <c r="U83" s="2"/>
      <c r="V83" s="6">
        <f t="shared" si="13"/>
        <v>0</v>
      </c>
      <c r="W83" s="2"/>
      <c r="X83" s="2">
        <f t="shared" si="14"/>
        <v>800</v>
      </c>
      <c r="Y83" s="2"/>
      <c r="Z83" s="6">
        <f t="shared" si="15"/>
        <v>0</v>
      </c>
    </row>
    <row r="84" spans="1:26" s="70" customFormat="1" ht="15" hidden="1" customHeight="1" outlineLevel="2" x14ac:dyDescent="0.3">
      <c r="A84" s="26"/>
      <c r="B84" s="12" t="str">
        <f>CONCATENATE("          ","6274"," - ","UTILITIES")</f>
        <v xml:space="preserve">          6274 - UTILITIES</v>
      </c>
      <c r="C84" s="12"/>
      <c r="D84" s="8">
        <v>100</v>
      </c>
      <c r="E84" s="3"/>
      <c r="F84" s="7">
        <f t="shared" si="8"/>
        <v>2.1708012470819005E-3</v>
      </c>
      <c r="G84" s="3"/>
      <c r="H84" s="8">
        <v>0</v>
      </c>
      <c r="I84" s="3"/>
      <c r="J84" s="7">
        <f t="shared" si="9"/>
        <v>0</v>
      </c>
      <c r="K84" s="3"/>
      <c r="L84" s="8">
        <f t="shared" si="10"/>
        <v>100</v>
      </c>
      <c r="M84" s="3"/>
      <c r="N84" s="7">
        <f t="shared" si="11"/>
        <v>0</v>
      </c>
      <c r="O84" s="12"/>
      <c r="P84" s="8">
        <v>800</v>
      </c>
      <c r="Q84" s="3"/>
      <c r="R84" s="7">
        <f t="shared" si="12"/>
        <v>6.3187070535252942E-3</v>
      </c>
      <c r="S84" s="3"/>
      <c r="T84" s="8">
        <v>0</v>
      </c>
      <c r="U84" s="3"/>
      <c r="V84" s="7">
        <f t="shared" si="13"/>
        <v>0</v>
      </c>
      <c r="W84" s="3"/>
      <c r="X84" s="8">
        <f t="shared" si="14"/>
        <v>800</v>
      </c>
      <c r="Y84" s="3"/>
      <c r="Z84" s="7">
        <f t="shared" si="15"/>
        <v>0</v>
      </c>
    </row>
    <row r="85" spans="1:26" s="65" customFormat="1" ht="15" customHeight="1" x14ac:dyDescent="0.3">
      <c r="A85" s="35"/>
      <c r="B85" s="35"/>
      <c r="C85" s="35"/>
      <c r="D85" s="2"/>
      <c r="E85" s="2"/>
      <c r="F85" s="6"/>
      <c r="G85" s="2"/>
      <c r="H85" s="2"/>
      <c r="I85" s="2"/>
      <c r="J85" s="6"/>
      <c r="K85" s="2"/>
      <c r="L85" s="2"/>
      <c r="M85" s="2"/>
      <c r="N85" s="6"/>
      <c r="O85" s="35"/>
      <c r="P85" s="2"/>
      <c r="Q85" s="2"/>
      <c r="R85" s="6"/>
      <c r="S85" s="2"/>
      <c r="T85" s="2"/>
      <c r="U85" s="2"/>
      <c r="V85" s="6"/>
      <c r="W85" s="2"/>
      <c r="X85" s="2"/>
      <c r="Y85" s="2"/>
      <c r="Z85" s="6"/>
    </row>
    <row r="86" spans="1:26" s="63" customFormat="1" ht="15" customHeight="1" x14ac:dyDescent="0.3">
      <c r="A86" s="11"/>
      <c r="B86" s="27" t="s">
        <v>291</v>
      </c>
      <c r="C86" s="11"/>
      <c r="D86" s="5">
        <f>SUM(0)</f>
        <v>0</v>
      </c>
      <c r="E86" s="5"/>
      <c r="F86" s="13">
        <f>IF(D$12=0,0,D86/D$12)</f>
        <v>0</v>
      </c>
      <c r="G86" s="5"/>
      <c r="H86" s="5">
        <f>SUM(0)</f>
        <v>0</v>
      </c>
      <c r="I86" s="5"/>
      <c r="J86" s="13">
        <f>IF(H$12=0,0,H86/H$12)</f>
        <v>0</v>
      </c>
      <c r="K86" s="5"/>
      <c r="L86" s="5">
        <f>+D86-H86</f>
        <v>0</v>
      </c>
      <c r="M86" s="5"/>
      <c r="N86" s="13">
        <f>IF(H86=0,0,L86/H86)</f>
        <v>0</v>
      </c>
      <c r="O86" s="11"/>
      <c r="P86" s="5">
        <f>SUM(0)</f>
        <v>0</v>
      </c>
      <c r="Q86" s="5"/>
      <c r="R86" s="13">
        <f>IF(P$12=0,0,P86/P$12)</f>
        <v>0</v>
      </c>
      <c r="S86" s="5"/>
      <c r="T86" s="5">
        <f>SUM(0)</f>
        <v>0</v>
      </c>
      <c r="U86" s="5"/>
      <c r="V86" s="13">
        <f>IF(T$12=0,0,T86/T$12)</f>
        <v>0</v>
      </c>
      <c r="W86" s="5"/>
      <c r="X86" s="5">
        <f>+P86-T86</f>
        <v>0</v>
      </c>
      <c r="Y86" s="5"/>
      <c r="Z86" s="13">
        <f>IF(T86=0,0,X86/T86)</f>
        <v>0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11"/>
      <c r="B88" s="28" t="s">
        <v>292</v>
      </c>
      <c r="C88" s="28"/>
      <c r="D88" s="21">
        <f>+D21-D23+D86</f>
        <v>-8528.8299999999981</v>
      </c>
      <c r="E88" s="15"/>
      <c r="F88" s="22">
        <f>IF(D$12=0,0,D88/D$12)</f>
        <v>-0.1851439480014952</v>
      </c>
      <c r="G88" s="15"/>
      <c r="H88" s="21">
        <f>+H21-H23+H86</f>
        <v>458.93465169231058</v>
      </c>
      <c r="I88" s="15"/>
      <c r="J88" s="22">
        <f>IF(H$12=0,0,H88/H$12)</f>
        <v>6.8391549191152623E-3</v>
      </c>
      <c r="K88" s="16"/>
      <c r="L88" s="21">
        <f>+D88-H88</f>
        <v>-8987.7646516923087</v>
      </c>
      <c r="M88" s="16"/>
      <c r="N88" s="22">
        <f>IF(H88=0,0,L88/H88)</f>
        <v>-19.583974795867213</v>
      </c>
      <c r="O88" s="27"/>
      <c r="P88" s="21">
        <f>+P21-P23+P86</f>
        <v>-90051.580000000031</v>
      </c>
      <c r="Q88" s="15"/>
      <c r="R88" s="22">
        <f>IF(P$12=0,0,P88/P$12)</f>
        <v>-0.71126194215887184</v>
      </c>
      <c r="S88" s="15"/>
      <c r="T88" s="21">
        <f>+T21-T23+T86</f>
        <v>-122963.79087269233</v>
      </c>
      <c r="U88" s="15"/>
      <c r="V88" s="22">
        <f>IF(T$12=0,0,T88/T$12)</f>
        <v>-0.62172947750594021</v>
      </c>
      <c r="W88" s="16"/>
      <c r="X88" s="21">
        <f>+P88-T88</f>
        <v>32912.210872692303</v>
      </c>
      <c r="Y88" s="16"/>
      <c r="Z88" s="22">
        <f>IF(T88=0,0,X88/T88)</f>
        <v>-0.26765774411401472</v>
      </c>
    </row>
    <row r="89" spans="1:26" ht="15" customHeight="1" x14ac:dyDescent="0.3">
      <c r="A89" s="10"/>
      <c r="B89" s="11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49"/>
      <c r="B90" s="11" t="s">
        <v>293</v>
      </c>
      <c r="C90" s="11"/>
      <c r="D90" s="5">
        <v>5142.41</v>
      </c>
      <c r="E90" s="5"/>
      <c r="F90" s="13">
        <f>IF(D$12=0,0,D90/D$12)</f>
        <v>0.11163150041006435</v>
      </c>
      <c r="G90" s="5"/>
      <c r="H90" s="5">
        <v>7805</v>
      </c>
      <c r="I90" s="5"/>
      <c r="J90" s="13">
        <f>IF(H$12=0,0,H90/H$12)</f>
        <v>0.1163119933237959</v>
      </c>
      <c r="K90" s="5"/>
      <c r="L90" s="5">
        <f>+D90-H90</f>
        <v>-2662.59</v>
      </c>
      <c r="M90" s="5"/>
      <c r="N90" s="13">
        <f>IF(H90=0,0,L90/H90)</f>
        <v>-0.34113901345291481</v>
      </c>
      <c r="O90" s="11"/>
      <c r="P90" s="5">
        <v>15803.58</v>
      </c>
      <c r="Q90" s="5"/>
      <c r="R90" s="13">
        <f>IF(P$12=0,0,P90/P$12)</f>
        <v>0.12482274052118908</v>
      </c>
      <c r="S90" s="5"/>
      <c r="T90" s="5">
        <v>24178</v>
      </c>
      <c r="U90" s="5"/>
      <c r="V90" s="13">
        <f>IF(T$12=0,0,T90/T$12)</f>
        <v>0.12224879536043119</v>
      </c>
      <c r="W90" s="5"/>
      <c r="X90" s="5">
        <f>+P90-T90</f>
        <v>-8374.42</v>
      </c>
      <c r="Y90" s="5"/>
      <c r="Z90" s="13">
        <f>IF(T90=0,0,X90/T90)</f>
        <v>-0.34636529076019523</v>
      </c>
    </row>
    <row r="91" spans="1:26" ht="15" customHeight="1" x14ac:dyDescent="0.3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11"/>
      <c r="B92" s="28" t="s">
        <v>294</v>
      </c>
      <c r="C92" s="28"/>
      <c r="D92" s="33">
        <f>+D88-D90</f>
        <v>-13671.239999999998</v>
      </c>
      <c r="E92" s="15"/>
      <c r="F92" s="32">
        <f>IF(D$12=0,0,D92/D$12)</f>
        <v>-0.29677544841155956</v>
      </c>
      <c r="G92" s="15"/>
      <c r="H92" s="33">
        <f>+H88-H90</f>
        <v>-7346.0653483076894</v>
      </c>
      <c r="I92" s="15"/>
      <c r="J92" s="32">
        <f>IF(H$12=0,0,H92/H$12)</f>
        <v>-0.10947283840468064</v>
      </c>
      <c r="K92" s="16"/>
      <c r="L92" s="33">
        <f>D92-H92</f>
        <v>-6325.1746516923085</v>
      </c>
      <c r="M92" s="16"/>
      <c r="N92" s="32">
        <f>IF(H92=0,0,L92/H92)</f>
        <v>0.86102891164035678</v>
      </c>
      <c r="O92" s="27"/>
      <c r="P92" s="33">
        <f>+P88-P90</f>
        <v>-105855.16000000003</v>
      </c>
      <c r="Q92" s="15"/>
      <c r="R92" s="32">
        <f>IF(P$12=0,0,P92/P$12)</f>
        <v>-0.83608468268006098</v>
      </c>
      <c r="S92" s="15"/>
      <c r="T92" s="33">
        <f>+T88-T90</f>
        <v>-147141.79087269233</v>
      </c>
      <c r="U92" s="15"/>
      <c r="V92" s="32">
        <f>IF(T$12=0,0,T92/T$12)</f>
        <v>-0.74397827286637142</v>
      </c>
      <c r="W92" s="16"/>
      <c r="X92" s="33">
        <f>P92-T92</f>
        <v>41286.630872692302</v>
      </c>
      <c r="Y92" s="16"/>
      <c r="Z92" s="32">
        <f>IF(T92=0,0,X92/T92)</f>
        <v>-0.28059078680382282</v>
      </c>
    </row>
    <row r="93" spans="1:26" ht="15" customHeight="1" x14ac:dyDescent="0.3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ht="15" customHeight="1" x14ac:dyDescent="0.3">
      <c r="A94" s="10"/>
      <c r="B94" s="10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11"/>
      <c r="B95" s="28" t="s">
        <v>297</v>
      </c>
      <c r="C95" s="28"/>
      <c r="D95" s="34">
        <f>SUM(D92:D94)</f>
        <v>-13671.239999999998</v>
      </c>
      <c r="E95" s="15"/>
      <c r="F95" s="30">
        <f>IF(D$12=0,0,D95/D$12)</f>
        <v>-0.29677544841155956</v>
      </c>
      <c r="G95" s="15"/>
      <c r="H95" s="34">
        <f>SUM(H92:H94)</f>
        <v>-7346.0653483076894</v>
      </c>
      <c r="I95" s="15"/>
      <c r="J95" s="30">
        <f>IF(H$12=0,0,H95/H$12)</f>
        <v>-0.10947283840468064</v>
      </c>
      <c r="K95" s="16"/>
      <c r="L95" s="34">
        <f>+D95-H95</f>
        <v>-6325.1746516923085</v>
      </c>
      <c r="M95" s="16"/>
      <c r="N95" s="30">
        <f>IF(H95=0,0,L95/H95)</f>
        <v>0.86102891164035678</v>
      </c>
      <c r="O95" s="27"/>
      <c r="P95" s="34">
        <f>SUM(P92:P94)</f>
        <v>-105855.16000000003</v>
      </c>
      <c r="Q95" s="15"/>
      <c r="R95" s="30">
        <f>IF(P$12=0,0,P95/P$12)</f>
        <v>-0.83608468268006098</v>
      </c>
      <c r="S95" s="15"/>
      <c r="T95" s="34">
        <f>SUM(T92:T94)</f>
        <v>-147141.79087269233</v>
      </c>
      <c r="U95" s="15"/>
      <c r="V95" s="30">
        <f>IF(T$12=0,0,T95/T$12)</f>
        <v>-0.74397827286637142</v>
      </c>
      <c r="W95" s="16"/>
      <c r="X95" s="34">
        <f>+P95-T95</f>
        <v>41286.630872692302</v>
      </c>
      <c r="Y95" s="16"/>
      <c r="Z95" s="30">
        <f>IF(T95=0,0,X95/T95)</f>
        <v>-0.28059078680382282</v>
      </c>
    </row>
    <row r="96" spans="1:26" ht="15" customHeight="1" x14ac:dyDescent="0.3">
      <c r="A96" s="10"/>
      <c r="C96" s="10"/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1:24" ht="15" customHeight="1" x14ac:dyDescent="0.3">
      <c r="A97" s="10"/>
      <c r="B97" s="57">
        <v>44634.883430555557</v>
      </c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A98" s="10"/>
      <c r="B98" s="56" t="s">
        <v>298</v>
      </c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4" ht="15" customHeight="1" x14ac:dyDescent="0.3">
      <c r="A99" s="10"/>
      <c r="B99" s="54"/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4" ht="15" customHeight="1" x14ac:dyDescent="0.3"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3DB3-1BA5-1D9B-B825-F77FB16F112C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","327"," - ","C-Store Vending Machine(s)")</f>
        <v>Department 327 - C-Store Vending Machine(s)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0</v>
      </c>
      <c r="E12" s="5"/>
      <c r="F12" s="13"/>
      <c r="G12" s="5"/>
      <c r="H12" s="5">
        <f>SUM(OSRRefH13x_0)</f>
        <v>100</v>
      </c>
      <c r="I12" s="5"/>
      <c r="J12" s="13"/>
      <c r="K12" s="5"/>
      <c r="L12" s="5">
        <f>+D12-H12</f>
        <v>-100</v>
      </c>
      <c r="M12" s="5"/>
      <c r="N12" s="13">
        <f>IF(H12=0,0,L12/H12)</f>
        <v>-1</v>
      </c>
      <c r="O12" s="11"/>
      <c r="P12" s="5">
        <f>SUM(OSRRefP13x_0)</f>
        <v>698.72</v>
      </c>
      <c r="Q12" s="5"/>
      <c r="R12" s="13"/>
      <c r="S12" s="5"/>
      <c r="T12" s="5">
        <f>SUM(OSRRefT13x_0)</f>
        <v>425</v>
      </c>
      <c r="U12" s="5"/>
      <c r="V12" s="13"/>
      <c r="W12" s="5"/>
      <c r="X12" s="5">
        <f>+P12-T12</f>
        <v>273.72000000000003</v>
      </c>
      <c r="Y12" s="5"/>
      <c r="Z12" s="13">
        <f>IF(T12=0,0,X12/T12)</f>
        <v>0.64404705882352953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100</v>
      </c>
      <c r="I13" s="3"/>
      <c r="J13" s="20"/>
      <c r="K13" s="3"/>
      <c r="L13" s="3">
        <f>+D13-H13</f>
        <v>-100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425</v>
      </c>
      <c r="U13" s="3"/>
      <c r="V13" s="20"/>
      <c r="W13" s="3"/>
      <c r="X13" s="3">
        <f>+P13-T13</f>
        <v>-425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","4053"," - ","TAXABLE SALES-FOOD")</f>
        <v xml:space="preserve">          4053 -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--698.72</f>
        <v>698.72</v>
      </c>
      <c r="Q14" s="3"/>
      <c r="R14" s="20"/>
      <c r="S14" s="3"/>
      <c r="T14" s="3"/>
      <c r="U14" s="3"/>
      <c r="V14" s="20"/>
      <c r="W14" s="3"/>
      <c r="X14" s="3">
        <f>+P14-T14</f>
        <v>698.72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collapsed="1" x14ac:dyDescent="0.3">
      <c r="A17" s="11"/>
      <c r="B17" s="27" t="s">
        <v>288</v>
      </c>
      <c r="C17" s="11"/>
      <c r="D17" s="5">
        <f>SUM(OSRRefD16x_0)</f>
        <v>0</v>
      </c>
      <c r="E17" s="5"/>
      <c r="F17" s="13">
        <f>IF(D$12=0,0,D17/D$12)</f>
        <v>0</v>
      </c>
      <c r="G17" s="5"/>
      <c r="H17" s="5">
        <f>SUM(OSRRefH16x_0)</f>
        <v>50</v>
      </c>
      <c r="I17" s="5"/>
      <c r="J17" s="13">
        <f>IF(H$12=0,0,H17/H$12)</f>
        <v>0.5</v>
      </c>
      <c r="K17" s="5"/>
      <c r="L17" s="5">
        <f>+D17-H17</f>
        <v>-50</v>
      </c>
      <c r="M17" s="5"/>
      <c r="N17" s="13">
        <f>IF(H17=0,0,L17/H17)</f>
        <v>-1</v>
      </c>
      <c r="O17" s="11"/>
      <c r="P17" s="5">
        <f>SUM(OSRRefP16x_0)</f>
        <v>-8.7999999999999972</v>
      </c>
      <c r="Q17" s="5"/>
      <c r="R17" s="13">
        <f>IF(P$12=0,0,P17/P$12)</f>
        <v>-1.2594458438287149E-2</v>
      </c>
      <c r="S17" s="5"/>
      <c r="T17" s="5">
        <f>SUM(OSRRefT16x_0)</f>
        <v>213</v>
      </c>
      <c r="U17" s="5"/>
      <c r="V17" s="13">
        <f>IF(T$12=0,0,T17/T$12)</f>
        <v>0.50117647058823533</v>
      </c>
      <c r="W17" s="5"/>
      <c r="X17" s="5">
        <f>+P17-T17</f>
        <v>-221.8</v>
      </c>
      <c r="Y17" s="5"/>
      <c r="Z17" s="13">
        <f>IF(T17=0,0,X17/T17)</f>
        <v>-1.0413145539906103</v>
      </c>
    </row>
    <row r="18" spans="1:26" s="70" customFormat="1" ht="15" hidden="1" customHeight="1" outlineLevel="1" x14ac:dyDescent="0.3">
      <c r="A18" s="42"/>
      <c r="B18" s="12" t="str">
        <f>CONCATENATE("          ","5000"," - ","PURCHASES @ COST")</f>
        <v xml:space="preserve">          5000 - PURCHASES @ COST</v>
      </c>
      <c r="C18" s="12"/>
      <c r="D18" s="3"/>
      <c r="E18" s="3"/>
      <c r="F18" s="20">
        <f>IF(D$12=0,0,D18/D$12)</f>
        <v>0</v>
      </c>
      <c r="G18" s="3"/>
      <c r="H18" s="3">
        <v>50</v>
      </c>
      <c r="I18" s="3"/>
      <c r="J18" s="20">
        <f>IF(H$12=0,0,H18/H$12)</f>
        <v>0.5</v>
      </c>
      <c r="K18" s="3"/>
      <c r="L18" s="3">
        <f>+D18-H18</f>
        <v>-50</v>
      </c>
      <c r="M18" s="3"/>
      <c r="N18" s="20">
        <f>IF(H18=0,0,L18/H18)</f>
        <v>-1</v>
      </c>
      <c r="O18" s="12"/>
      <c r="P18" s="3"/>
      <c r="Q18" s="3"/>
      <c r="R18" s="20">
        <f>IF(P$12=0,0,P18/P$12)</f>
        <v>0</v>
      </c>
      <c r="S18" s="3"/>
      <c r="T18" s="3">
        <v>213</v>
      </c>
      <c r="U18" s="3"/>
      <c r="V18" s="20">
        <f>IF(T$12=0,0,T18/T$12)</f>
        <v>0.50117647058823533</v>
      </c>
      <c r="W18" s="3"/>
      <c r="X18" s="3">
        <f>+P18-T18</f>
        <v>-213</v>
      </c>
      <c r="Y18" s="3"/>
      <c r="Z18" s="20">
        <f>IF(T18=0,0,X18/T18)</f>
        <v>-1</v>
      </c>
    </row>
    <row r="19" spans="1:26" s="70" customFormat="1" ht="15" hidden="1" customHeight="1" outlineLevel="1" x14ac:dyDescent="0.3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45</v>
      </c>
      <c r="Q19" s="3"/>
      <c r="R19" s="20">
        <f>IF(P$12=0,0,P19/P$12)</f>
        <v>6.4403480650332037E-2</v>
      </c>
      <c r="S19" s="3"/>
      <c r="T19" s="3"/>
      <c r="U19" s="3"/>
      <c r="V19" s="20">
        <f>IF(T$12=0,0,T19/T$12)</f>
        <v>0</v>
      </c>
      <c r="W19" s="3"/>
      <c r="X19" s="3">
        <f>+P19-T19</f>
        <v>45</v>
      </c>
      <c r="Y19" s="3"/>
      <c r="Z19" s="20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/>
      <c r="E20" s="3"/>
      <c r="F20" s="20">
        <f>IF(D$12=0,0,D20/D$12)</f>
        <v>0</v>
      </c>
      <c r="G20" s="3"/>
      <c r="H20" s="3"/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>
        <v>-53.8</v>
      </c>
      <c r="Q20" s="3"/>
      <c r="R20" s="20">
        <f>IF(P$12=0,0,P20/P$12)</f>
        <v>-7.6997939088619183E-2</v>
      </c>
      <c r="S20" s="3"/>
      <c r="T20" s="3"/>
      <c r="U20" s="3"/>
      <c r="V20" s="20">
        <f>IF(T$12=0,0,T20/T$12)</f>
        <v>0</v>
      </c>
      <c r="W20" s="3"/>
      <c r="X20" s="3">
        <f>+P20-T20</f>
        <v>-53.8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8" t="s">
        <v>289</v>
      </c>
      <c r="C22" s="28"/>
      <c r="D22" s="21">
        <f>D12-D17</f>
        <v>0</v>
      </c>
      <c r="E22" s="15"/>
      <c r="F22" s="22">
        <f>IF(D$12=0,0,D22/D$12)</f>
        <v>0</v>
      </c>
      <c r="G22" s="15"/>
      <c r="H22" s="21">
        <f>H12-H17</f>
        <v>50</v>
      </c>
      <c r="I22" s="15"/>
      <c r="J22" s="22">
        <f>IF(H$12=0,0,H22/H$12)</f>
        <v>0.5</v>
      </c>
      <c r="K22" s="16"/>
      <c r="L22" s="21">
        <f>+D22-H22</f>
        <v>-50</v>
      </c>
      <c r="M22" s="16"/>
      <c r="N22" s="22">
        <f>IF(H22=0,0,L22/H22)</f>
        <v>-1</v>
      </c>
      <c r="O22" s="27"/>
      <c r="P22" s="21">
        <f>P12-P17</f>
        <v>707.52</v>
      </c>
      <c r="Q22" s="15"/>
      <c r="R22" s="22">
        <f>IF(P$12=0,0,P22/P$12)</f>
        <v>1.0125944584382871</v>
      </c>
      <c r="S22" s="15"/>
      <c r="T22" s="21">
        <f>T12-T17</f>
        <v>212</v>
      </c>
      <c r="U22" s="15"/>
      <c r="V22" s="22">
        <f>IF(T$12=0,0,T22/T$12)</f>
        <v>0.49882352941176472</v>
      </c>
      <c r="W22" s="16"/>
      <c r="X22" s="21">
        <f>+P22-T22</f>
        <v>495.52</v>
      </c>
      <c r="Y22" s="16"/>
      <c r="Z22" s="22">
        <f>IF(T22=0,0,X22/T22)</f>
        <v>2.3373584905660376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7" t="s">
        <v>290</v>
      </c>
      <c r="C24" s="11"/>
      <c r="D24" s="23" cm="1">
        <f t="array" ref="D24">SUM(OSRRefD22x_0)</f>
        <v>0</v>
      </c>
      <c r="E24" s="23"/>
      <c r="F24" s="29">
        <f>IF(D$12=0,0,D24/D$12)</f>
        <v>0</v>
      </c>
      <c r="G24" s="23"/>
      <c r="H24" s="23" cm="1">
        <f t="array" ref="H24">SUM(OSRRefH22x_0)</f>
        <v>9</v>
      </c>
      <c r="I24" s="23"/>
      <c r="J24" s="29">
        <f>IF(H$12=0,0,H24/H$12)</f>
        <v>0.09</v>
      </c>
      <c r="K24" s="5"/>
      <c r="L24" s="23">
        <f>+D24-H24</f>
        <v>-9</v>
      </c>
      <c r="M24" s="5"/>
      <c r="N24" s="29">
        <f>IF(H24=0,0,L24/H24)</f>
        <v>-1</v>
      </c>
      <c r="O24" s="11"/>
      <c r="P24" s="23" cm="1">
        <f t="array" ref="P24">SUM(OSRRefP22x_0)</f>
        <v>1125.53</v>
      </c>
      <c r="Q24" s="23"/>
      <c r="R24" s="29">
        <f>IF(P$12=0,0,P24/P$12)</f>
        <v>1.6108455461415159</v>
      </c>
      <c r="S24" s="23"/>
      <c r="T24" s="23" cm="1">
        <f t="array" ref="T24">SUM(OSRRefT22x_0)</f>
        <v>38.25</v>
      </c>
      <c r="U24" s="23"/>
      <c r="V24" s="29">
        <f>IF(T$12=0,0,T24/T$12)</f>
        <v>0.09</v>
      </c>
      <c r="W24" s="5"/>
      <c r="X24" s="23">
        <f>+P24-T24</f>
        <v>1087.28</v>
      </c>
      <c r="Y24" s="5"/>
      <c r="Z24" s="29">
        <f>IF(T24=0,0,X24/T24)</f>
        <v>28.425620915032678</v>
      </c>
    </row>
    <row r="25" spans="1:26" s="69" customFormat="1" ht="15" customHeight="1" outlineLevel="1" collapsed="1" x14ac:dyDescent="0.3">
      <c r="A25" s="25"/>
      <c r="B25" s="14" t="str">
        <f>CONCATENATE("     ","Bank/card Fees                                    ")</f>
        <v xml:space="preserve">     Bank/card Fees                                    </v>
      </c>
      <c r="C25" s="14"/>
      <c r="D25" s="2">
        <f>SUM(OSRRefD22_0x_0)</f>
        <v>0</v>
      </c>
      <c r="E25" s="2"/>
      <c r="F25" s="6">
        <f>IF(D$12=0,0,D25/D$12)</f>
        <v>0</v>
      </c>
      <c r="G25" s="2"/>
      <c r="H25" s="2">
        <f>SUM(OSRRefH22_0x_0)</f>
        <v>9</v>
      </c>
      <c r="I25" s="2"/>
      <c r="J25" s="6">
        <f>IF(H$12=0,0,H25/H$12)</f>
        <v>0.09</v>
      </c>
      <c r="K25" s="2"/>
      <c r="L25" s="2">
        <f>+D25-H25</f>
        <v>-9</v>
      </c>
      <c r="M25" s="2"/>
      <c r="N25" s="6">
        <f>IF(H25=0,0,L25/H25)</f>
        <v>-1</v>
      </c>
      <c r="O25" s="14"/>
      <c r="P25" s="2">
        <f>SUM(OSRRefP22_0x_0)</f>
        <v>366.65</v>
      </c>
      <c r="Q25" s="2"/>
      <c r="R25" s="6">
        <f>IF(P$12=0,0,P25/P$12)</f>
        <v>0.52474524845431636</v>
      </c>
      <c r="S25" s="2"/>
      <c r="T25" s="2">
        <f>SUM(OSRRefT22_0x_0)</f>
        <v>38.25</v>
      </c>
      <c r="U25" s="2"/>
      <c r="V25" s="6">
        <f>IF(T$12=0,0,T25/T$12)</f>
        <v>0.09</v>
      </c>
      <c r="W25" s="2"/>
      <c r="X25" s="2">
        <f>+P25-T25</f>
        <v>328.4</v>
      </c>
      <c r="Y25" s="2"/>
      <c r="Z25" s="6">
        <f>IF(T25=0,0,X25/T25)</f>
        <v>8.5856209150326794</v>
      </c>
    </row>
    <row r="26" spans="1:26" s="70" customFormat="1" ht="15" hidden="1" customHeight="1" outlineLevel="2" x14ac:dyDescent="0.3">
      <c r="A26" s="26"/>
      <c r="B26" s="12" t="str">
        <f>CONCATENATE("          ","6381"," - ","BANK/CREDIT CARD FEES")</f>
        <v xml:space="preserve">          6381 - BANK/CREDIT CARD FEES</v>
      </c>
      <c r="C26" s="12"/>
      <c r="D26" s="8"/>
      <c r="E26" s="3"/>
      <c r="F26" s="7">
        <f>IF(D$12=0,0,D26/D$12)</f>
        <v>0</v>
      </c>
      <c r="G26" s="3"/>
      <c r="H26" s="8">
        <v>9</v>
      </c>
      <c r="I26" s="3"/>
      <c r="J26" s="7">
        <f>IF(H$12=0,0,H26/H$12)</f>
        <v>0.09</v>
      </c>
      <c r="K26" s="3"/>
      <c r="L26" s="8">
        <f>+D26-H26</f>
        <v>-9</v>
      </c>
      <c r="M26" s="3"/>
      <c r="N26" s="7">
        <f>IF(H26=0,0,L26/H26)</f>
        <v>-1</v>
      </c>
      <c r="O26" s="12"/>
      <c r="P26" s="8">
        <v>366.65</v>
      </c>
      <c r="Q26" s="3"/>
      <c r="R26" s="7">
        <f>IF(P$12=0,0,P26/P$12)</f>
        <v>0.52474524845431636</v>
      </c>
      <c r="S26" s="3"/>
      <c r="T26" s="8">
        <v>38.25</v>
      </c>
      <c r="U26" s="3"/>
      <c r="V26" s="7">
        <f>IF(T$12=0,0,T26/T$12)</f>
        <v>0.09</v>
      </c>
      <c r="W26" s="3"/>
      <c r="X26" s="8">
        <f>+P26-T26</f>
        <v>328.4</v>
      </c>
      <c r="Y26" s="3"/>
      <c r="Z26" s="7">
        <f>IF(T26=0,0,X26/T26)</f>
        <v>8.5856209150326794</v>
      </c>
    </row>
    <row r="27" spans="1:26" s="69" customFormat="1" ht="15" customHeight="1" outlineLevel="1" collapsed="1" x14ac:dyDescent="0.3">
      <c r="A27" s="25"/>
      <c r="B27" s="14" t="str">
        <f>CONCATENATE("     ","General                                           ")</f>
        <v xml:space="preserve">     General                                           </v>
      </c>
      <c r="C27" s="14"/>
      <c r="D27" s="2">
        <f>SUM(OSRRefD22_1x_0)</f>
        <v>0</v>
      </c>
      <c r="E27" s="2"/>
      <c r="F27" s="6">
        <f>IF(D$12=0,0,D27/D$12)</f>
        <v>0</v>
      </c>
      <c r="G27" s="2"/>
      <c r="H27" s="2">
        <f>SUM(OSRRefH22_1x_0)</f>
        <v>0</v>
      </c>
      <c r="I27" s="2"/>
      <c r="J27" s="6">
        <f>IF(H$12=0,0,H27/H$12)</f>
        <v>0</v>
      </c>
      <c r="K27" s="2"/>
      <c r="L27" s="2">
        <f>+D27-H27</f>
        <v>0</v>
      </c>
      <c r="M27" s="2"/>
      <c r="N27" s="6">
        <f>IF(H27=0,0,L27/H27)</f>
        <v>0</v>
      </c>
      <c r="O27" s="14"/>
      <c r="P27" s="2">
        <f>SUM(OSRRefP22_1x_0)</f>
        <v>758.88</v>
      </c>
      <c r="Q27" s="2"/>
      <c r="R27" s="6">
        <f>IF(P$12=0,0,P27/P$12)</f>
        <v>1.0861002976871994</v>
      </c>
      <c r="S27" s="2"/>
      <c r="T27" s="2">
        <f>SUM(OSRRefT22_1x_0)</f>
        <v>0</v>
      </c>
      <c r="U27" s="2"/>
      <c r="V27" s="6">
        <f>IF(T$12=0,0,T27/T$12)</f>
        <v>0</v>
      </c>
      <c r="W27" s="2"/>
      <c r="X27" s="2">
        <f>+P27-T27</f>
        <v>758.88</v>
      </c>
      <c r="Y27" s="2"/>
      <c r="Z27" s="6">
        <f>IF(T27=0,0,X27/T27)</f>
        <v>0</v>
      </c>
    </row>
    <row r="28" spans="1:26" s="70" customFormat="1" ht="15" hidden="1" customHeight="1" outlineLevel="2" x14ac:dyDescent="0.3">
      <c r="A28" s="26"/>
      <c r="B28" s="12" t="str">
        <f>CONCATENATE("          ","6279"," - ","GENERAL EXPENSE")</f>
        <v xml:space="preserve">          6279 - GENERAL EXPENSE</v>
      </c>
      <c r="C28" s="12"/>
      <c r="D28" s="8"/>
      <c r="E28" s="3"/>
      <c r="F28" s="7">
        <f>IF(D$12=0,0,D28/D$12)</f>
        <v>0</v>
      </c>
      <c r="G28" s="3"/>
      <c r="H28" s="8"/>
      <c r="I28" s="3"/>
      <c r="J28" s="7">
        <f>IF(H$12=0,0,H28/H$12)</f>
        <v>0</v>
      </c>
      <c r="K28" s="3"/>
      <c r="L28" s="8">
        <f>+D28-H28</f>
        <v>0</v>
      </c>
      <c r="M28" s="3"/>
      <c r="N28" s="7">
        <f>IF(H28=0,0,L28/H28)</f>
        <v>0</v>
      </c>
      <c r="O28" s="12"/>
      <c r="P28" s="8">
        <v>758.88</v>
      </c>
      <c r="Q28" s="3"/>
      <c r="R28" s="7">
        <f>IF(P$12=0,0,P28/P$12)</f>
        <v>1.0861002976871994</v>
      </c>
      <c r="S28" s="3"/>
      <c r="T28" s="8"/>
      <c r="U28" s="3"/>
      <c r="V28" s="7">
        <f>IF(T$12=0,0,T28/T$12)</f>
        <v>0</v>
      </c>
      <c r="W28" s="3"/>
      <c r="X28" s="8">
        <f>+P28-T28</f>
        <v>758.88</v>
      </c>
      <c r="Y28" s="3"/>
      <c r="Z28" s="7">
        <f>IF(T28=0,0,X28/T28)</f>
        <v>0</v>
      </c>
    </row>
    <row r="29" spans="1:26" s="65" customFormat="1" ht="15" customHeight="1" x14ac:dyDescent="0.3">
      <c r="A29" s="35"/>
      <c r="B29" s="35"/>
      <c r="C29" s="35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5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3" customFormat="1" ht="15" customHeight="1" x14ac:dyDescent="0.3">
      <c r="A30" s="11"/>
      <c r="B30" s="27" t="s">
        <v>291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8" t="s">
        <v>292</v>
      </c>
      <c r="C32" s="28"/>
      <c r="D32" s="21">
        <f>+D22-D24+D30</f>
        <v>0</v>
      </c>
      <c r="E32" s="15"/>
      <c r="F32" s="22">
        <f>IF(D$12=0,0,D32/D$12)</f>
        <v>0</v>
      </c>
      <c r="G32" s="15"/>
      <c r="H32" s="21">
        <f>+H22-H24+H30</f>
        <v>41</v>
      </c>
      <c r="I32" s="15"/>
      <c r="J32" s="22">
        <f>IF(H$12=0,0,H32/H$12)</f>
        <v>0.41</v>
      </c>
      <c r="K32" s="16"/>
      <c r="L32" s="21">
        <f>+D32-H32</f>
        <v>-41</v>
      </c>
      <c r="M32" s="16"/>
      <c r="N32" s="22">
        <f>IF(H32=0,0,L32/H32)</f>
        <v>-1</v>
      </c>
      <c r="O32" s="27"/>
      <c r="P32" s="21">
        <f>+P22-P24+P30</f>
        <v>-418.01</v>
      </c>
      <c r="Q32" s="15"/>
      <c r="R32" s="22">
        <f>IF(P$12=0,0,P32/P$12)</f>
        <v>-0.59825108770322877</v>
      </c>
      <c r="S32" s="15"/>
      <c r="T32" s="21">
        <f>+T22-T24+T30</f>
        <v>173.75</v>
      </c>
      <c r="U32" s="15"/>
      <c r="V32" s="22">
        <f>IF(T$12=0,0,T32/T$12)</f>
        <v>0.4088235294117647</v>
      </c>
      <c r="W32" s="16"/>
      <c r="X32" s="21">
        <f>+P32-T32</f>
        <v>-591.76</v>
      </c>
      <c r="Y32" s="16"/>
      <c r="Z32" s="22">
        <f>IF(T32=0,0,X32/T32)</f>
        <v>-3.4058129496402878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3">
      <c r="A34" s="49"/>
      <c r="B34" s="11" t="s">
        <v>293</v>
      </c>
      <c r="C34" s="11"/>
      <c r="D34" s="5">
        <v>-5.27</v>
      </c>
      <c r="E34" s="5"/>
      <c r="F34" s="13">
        <f>IF(D$12=0,0,D34/D$12)</f>
        <v>0</v>
      </c>
      <c r="G34" s="5"/>
      <c r="H34" s="5">
        <v>11</v>
      </c>
      <c r="I34" s="5"/>
      <c r="J34" s="13">
        <f>IF(H$12=0,0,H34/H$12)</f>
        <v>0.11</v>
      </c>
      <c r="K34" s="5"/>
      <c r="L34" s="5">
        <f>+D34-H34</f>
        <v>-16.27</v>
      </c>
      <c r="M34" s="5"/>
      <c r="N34" s="13">
        <f>IF(H34=0,0,L34/H34)</f>
        <v>-1.479090909090909</v>
      </c>
      <c r="O34" s="11"/>
      <c r="P34" s="5">
        <v>87.22</v>
      </c>
      <c r="Q34" s="5"/>
      <c r="R34" s="13">
        <f>IF(P$12=0,0,P34/P$12)</f>
        <v>0.12482825738493245</v>
      </c>
      <c r="S34" s="5"/>
      <c r="T34" s="5">
        <v>52</v>
      </c>
      <c r="U34" s="5"/>
      <c r="V34" s="13">
        <f>IF(T$12=0,0,T34/T$12)</f>
        <v>0.12235294117647059</v>
      </c>
      <c r="W34" s="5"/>
      <c r="X34" s="5">
        <f>+P34-T34</f>
        <v>35.22</v>
      </c>
      <c r="Y34" s="5"/>
      <c r="Z34" s="13">
        <f>IF(T34=0,0,X34/T34)</f>
        <v>0.67730769230769228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294</v>
      </c>
      <c r="C36" s="28"/>
      <c r="D36" s="33">
        <f>+D32-D34</f>
        <v>5.27</v>
      </c>
      <c r="E36" s="15"/>
      <c r="F36" s="32">
        <f>IF(D$12=0,0,D36/D$12)</f>
        <v>0</v>
      </c>
      <c r="G36" s="15"/>
      <c r="H36" s="33">
        <f>+H32-H34</f>
        <v>30</v>
      </c>
      <c r="I36" s="15"/>
      <c r="J36" s="32">
        <f>IF(H$12=0,0,H36/H$12)</f>
        <v>0.3</v>
      </c>
      <c r="K36" s="16"/>
      <c r="L36" s="33">
        <f>D36-H36</f>
        <v>-24.73</v>
      </c>
      <c r="M36" s="16"/>
      <c r="N36" s="32">
        <f>IF(H36=0,0,L36/H36)</f>
        <v>-0.82433333333333336</v>
      </c>
      <c r="O36" s="27"/>
      <c r="P36" s="33">
        <f>+P32-P34</f>
        <v>-505.23</v>
      </c>
      <c r="Q36" s="15"/>
      <c r="R36" s="32">
        <f>IF(P$12=0,0,P36/P$12)</f>
        <v>-0.72307934508816119</v>
      </c>
      <c r="S36" s="15"/>
      <c r="T36" s="33">
        <f>+T32-T34</f>
        <v>121.75</v>
      </c>
      <c r="U36" s="15"/>
      <c r="V36" s="32">
        <f>IF(T$12=0,0,T36/T$12)</f>
        <v>0.28647058823529414</v>
      </c>
      <c r="W36" s="16"/>
      <c r="X36" s="33">
        <f>P36-T36</f>
        <v>-626.98</v>
      </c>
      <c r="Y36" s="16"/>
      <c r="Z36" s="32">
        <f>IF(T36=0,0,X36/T36)</f>
        <v>-5.1497330595482547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3" customFormat="1" ht="15" customHeight="1" x14ac:dyDescent="0.3">
      <c r="A39" s="11"/>
      <c r="B39" s="28" t="s">
        <v>297</v>
      </c>
      <c r="C39" s="28"/>
      <c r="D39" s="34">
        <f>SUM(D36:D38)</f>
        <v>5.27</v>
      </c>
      <c r="E39" s="15"/>
      <c r="F39" s="30">
        <f>IF(D$12=0,0,D39/D$12)</f>
        <v>0</v>
      </c>
      <c r="G39" s="15"/>
      <c r="H39" s="34">
        <f>SUM(H36:H38)</f>
        <v>30</v>
      </c>
      <c r="I39" s="15"/>
      <c r="J39" s="30">
        <f>IF(H$12=0,0,H39/H$12)</f>
        <v>0.3</v>
      </c>
      <c r="K39" s="16"/>
      <c r="L39" s="34">
        <f>+D39-H39</f>
        <v>-24.73</v>
      </c>
      <c r="M39" s="16"/>
      <c r="N39" s="30">
        <f>IF(H39=0,0,L39/H39)</f>
        <v>-0.82433333333333336</v>
      </c>
      <c r="O39" s="27"/>
      <c r="P39" s="34">
        <f>SUM(P36:P38)</f>
        <v>-505.23</v>
      </c>
      <c r="Q39" s="15"/>
      <c r="R39" s="30">
        <f>IF(P$12=0,0,P39/P$12)</f>
        <v>-0.72307934508816119</v>
      </c>
      <c r="S39" s="15"/>
      <c r="T39" s="34">
        <f>SUM(T36:T38)</f>
        <v>121.75</v>
      </c>
      <c r="U39" s="15"/>
      <c r="V39" s="30">
        <f>IF(T$12=0,0,T39/T$12)</f>
        <v>0.28647058823529414</v>
      </c>
      <c r="W39" s="16"/>
      <c r="X39" s="34">
        <f>+P39-T39</f>
        <v>-626.98</v>
      </c>
      <c r="Y39" s="16"/>
      <c r="Z39" s="30">
        <f>IF(T39=0,0,X39/T39)</f>
        <v>-5.1497330595482547</v>
      </c>
    </row>
    <row r="40" spans="1:26" ht="15" customHeight="1" x14ac:dyDescent="0.3">
      <c r="A40" s="10"/>
      <c r="C40" s="10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0"/>
      <c r="B41" s="57">
        <v>44634.883430555557</v>
      </c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A42" s="10"/>
      <c r="B42" s="56" t="s">
        <v>298</v>
      </c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  <row r="43" spans="1:26" ht="15" customHeight="1" x14ac:dyDescent="0.3">
      <c r="A43" s="10"/>
      <c r="B43" s="54"/>
      <c r="D43" s="19"/>
      <c r="E43" s="19"/>
      <c r="G43" s="19"/>
      <c r="H43" s="19"/>
      <c r="I43" s="19"/>
      <c r="J43" s="41"/>
      <c r="K43" s="19"/>
      <c r="L43" s="19"/>
      <c r="M43" s="19"/>
      <c r="P43" s="19"/>
      <c r="Q43" s="19"/>
      <c r="R43" s="41"/>
      <c r="S43" s="19"/>
      <c r="T43" s="19"/>
      <c r="U43" s="19"/>
      <c r="V43" s="41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8B54D-48C9-EA77-A517-5F4A02F69A42}">
  <sheetPr>
    <tabColor rgb="FFFFC000"/>
    <outlinePr summaryBelow="0" summaryRight="0"/>
  </sheetPr>
  <dimension ref="A2:Z13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310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1607036.02</v>
      </c>
      <c r="E12" s="5"/>
      <c r="F12" s="13"/>
      <c r="G12" s="5"/>
      <c r="H12" s="5">
        <f>SUM(OSRRefH13x_0)</f>
        <v>1523728</v>
      </c>
      <c r="I12" s="5"/>
      <c r="J12" s="13"/>
      <c r="K12" s="5"/>
      <c r="L12" s="5">
        <f t="shared" ref="L12:L18" si="0">+D12-H12</f>
        <v>83308.020000000019</v>
      </c>
      <c r="M12" s="5"/>
      <c r="N12" s="13">
        <f t="shared" ref="N12:N18" si="1">IF(H12=0,0,L12/H12)</f>
        <v>5.4673813174004819E-2</v>
      </c>
      <c r="O12" s="11"/>
      <c r="P12" s="5">
        <f>SUM(OSRRefP13x_0)</f>
        <v>8635753.5399999991</v>
      </c>
      <c r="Q12" s="5"/>
      <c r="R12" s="13"/>
      <c r="S12" s="5"/>
      <c r="T12" s="5">
        <f>SUM(OSRRefT13x_0)</f>
        <v>7134525</v>
      </c>
      <c r="U12" s="5"/>
      <c r="V12" s="13"/>
      <c r="W12" s="5"/>
      <c r="X12" s="5">
        <f t="shared" ref="X12:X18" si="2">+P12-T12</f>
        <v>1501228.5399999991</v>
      </c>
      <c r="Y12" s="5"/>
      <c r="Z12" s="13">
        <f t="shared" ref="Z12:Z18" si="3">IF(T12=0,0,X12/T12)</f>
        <v>0.21041744755256994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169849</v>
      </c>
      <c r="I13" s="3"/>
      <c r="J13" s="20"/>
      <c r="K13" s="3"/>
      <c r="L13" s="3">
        <f t="shared" si="0"/>
        <v>-169849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390724</v>
      </c>
      <c r="U13" s="3"/>
      <c r="V13" s="20"/>
      <c r="W13" s="3"/>
      <c r="X13" s="3">
        <f t="shared" si="2"/>
        <v>-390724</v>
      </c>
      <c r="Y13" s="3"/>
      <c r="Z13" s="20">
        <f t="shared" si="3"/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--56305.76</f>
        <v>56305.760000000002</v>
      </c>
      <c r="E14" s="3"/>
      <c r="F14" s="20"/>
      <c r="G14" s="3"/>
      <c r="H14" s="3"/>
      <c r="I14" s="3"/>
      <c r="J14" s="20"/>
      <c r="K14" s="3"/>
      <c r="L14" s="3">
        <f t="shared" si="0"/>
        <v>56305.760000000002</v>
      </c>
      <c r="M14" s="3"/>
      <c r="N14" s="20">
        <f t="shared" si="1"/>
        <v>0</v>
      </c>
      <c r="O14" s="12"/>
      <c r="P14" s="3">
        <f>--205665.12</f>
        <v>205665.12</v>
      </c>
      <c r="Q14" s="3"/>
      <c r="R14" s="20"/>
      <c r="S14" s="3"/>
      <c r="T14" s="3"/>
      <c r="U14" s="3"/>
      <c r="V14" s="20"/>
      <c r="W14" s="3"/>
      <c r="X14" s="3">
        <f t="shared" si="2"/>
        <v>205665.12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--6171.55</f>
        <v>6171.55</v>
      </c>
      <c r="E15" s="3"/>
      <c r="F15" s="20"/>
      <c r="G15" s="3"/>
      <c r="H15" s="3"/>
      <c r="I15" s="3"/>
      <c r="J15" s="20"/>
      <c r="K15" s="3"/>
      <c r="L15" s="3">
        <f t="shared" si="0"/>
        <v>6171.55</v>
      </c>
      <c r="M15" s="3"/>
      <c r="N15" s="20">
        <f t="shared" si="1"/>
        <v>0</v>
      </c>
      <c r="O15" s="12"/>
      <c r="P15" s="3">
        <f>--17647.98</f>
        <v>17647.98</v>
      </c>
      <c r="Q15" s="3"/>
      <c r="R15" s="20"/>
      <c r="S15" s="3"/>
      <c r="T15" s="3"/>
      <c r="U15" s="3"/>
      <c r="V15" s="20"/>
      <c r="W15" s="3"/>
      <c r="X15" s="3">
        <f t="shared" si="2"/>
        <v>17647.98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0</f>
        <v>0</v>
      </c>
      <c r="E16" s="3"/>
      <c r="F16" s="20"/>
      <c r="G16" s="3"/>
      <c r="H16" s="3">
        <v>1353879</v>
      </c>
      <c r="I16" s="3"/>
      <c r="J16" s="20"/>
      <c r="K16" s="3"/>
      <c r="L16" s="3">
        <f t="shared" si="0"/>
        <v>-1353879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v>6743801</v>
      </c>
      <c r="U16" s="3"/>
      <c r="V16" s="20"/>
      <c r="W16" s="3"/>
      <c r="X16" s="3">
        <f t="shared" si="2"/>
        <v>-6743801</v>
      </c>
      <c r="Y16" s="3"/>
      <c r="Z16" s="20">
        <f t="shared" si="3"/>
        <v>-1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--1525252.75</f>
        <v>1525252.75</v>
      </c>
      <c r="E17" s="3"/>
      <c r="F17" s="20"/>
      <c r="G17" s="3"/>
      <c r="H17" s="3"/>
      <c r="I17" s="3"/>
      <c r="J17" s="20"/>
      <c r="K17" s="3"/>
      <c r="L17" s="3">
        <f t="shared" si="0"/>
        <v>1525252.75</v>
      </c>
      <c r="M17" s="3"/>
      <c r="N17" s="20">
        <f t="shared" si="1"/>
        <v>0</v>
      </c>
      <c r="O17" s="12"/>
      <c r="P17" s="3">
        <f>--8331653.16</f>
        <v>8331653.1600000001</v>
      </c>
      <c r="Q17" s="3"/>
      <c r="R17" s="20"/>
      <c r="S17" s="3"/>
      <c r="T17" s="3"/>
      <c r="U17" s="3"/>
      <c r="V17" s="20"/>
      <c r="W17" s="3"/>
      <c r="X17" s="3">
        <f t="shared" si="2"/>
        <v>8331653.1600000001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--19305.96</f>
        <v>19305.96</v>
      </c>
      <c r="E18" s="3"/>
      <c r="F18" s="20"/>
      <c r="G18" s="3"/>
      <c r="H18" s="3"/>
      <c r="I18" s="3"/>
      <c r="J18" s="20"/>
      <c r="K18" s="3"/>
      <c r="L18" s="3">
        <f t="shared" si="0"/>
        <v>19305.96</v>
      </c>
      <c r="M18" s="3"/>
      <c r="N18" s="20">
        <f t="shared" si="1"/>
        <v>0</v>
      </c>
      <c r="O18" s="12"/>
      <c r="P18" s="3">
        <f>--80787.28</f>
        <v>80787.28</v>
      </c>
      <c r="Q18" s="3"/>
      <c r="R18" s="20"/>
      <c r="S18" s="3"/>
      <c r="T18" s="3"/>
      <c r="U18" s="3"/>
      <c r="V18" s="20"/>
      <c r="W18" s="3"/>
      <c r="X18" s="3">
        <f t="shared" si="2"/>
        <v>80787.28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7" t="s">
        <v>288</v>
      </c>
      <c r="C20" s="11"/>
      <c r="D20" s="5">
        <f>SUM(OSRRefD16x_0)</f>
        <v>387026.55000000005</v>
      </c>
      <c r="E20" s="5"/>
      <c r="F20" s="13">
        <f>IF(D$12=0,0,D20/D$12)</f>
        <v>0.24083252969028041</v>
      </c>
      <c r="G20" s="5"/>
      <c r="H20" s="5">
        <f>SUM(OSRRefH16x_0)</f>
        <v>424674</v>
      </c>
      <c r="I20" s="5"/>
      <c r="J20" s="13">
        <f>IF(H$12=0,0,H20/H$12)</f>
        <v>0.27870722333644848</v>
      </c>
      <c r="K20" s="5"/>
      <c r="L20" s="5">
        <f>+D20-H20</f>
        <v>-37647.449999999953</v>
      </c>
      <c r="M20" s="5"/>
      <c r="N20" s="13">
        <f>IF(H20=0,0,L20/H20)</f>
        <v>-8.8650235239265768E-2</v>
      </c>
      <c r="O20" s="11"/>
      <c r="P20" s="5">
        <f>SUM(OSRRefP16x_0)</f>
        <v>2232223.5500000003</v>
      </c>
      <c r="Q20" s="5"/>
      <c r="R20" s="13">
        <f>IF(P$12=0,0,P20/P$12)</f>
        <v>0.25848625017614857</v>
      </c>
      <c r="S20" s="5"/>
      <c r="T20" s="5">
        <f>SUM(OSRRefT16x_0)</f>
        <v>2066841</v>
      </c>
      <c r="U20" s="5"/>
      <c r="V20" s="13">
        <f>IF(T$12=0,0,T20/T$12)</f>
        <v>0.28969566999905388</v>
      </c>
      <c r="W20" s="5"/>
      <c r="X20" s="5">
        <f>+P20-T20</f>
        <v>165382.55000000028</v>
      </c>
      <c r="Y20" s="5"/>
      <c r="Z20" s="13">
        <f>IF(T20=0,0,X20/T20)</f>
        <v>8.0017064689543255E-2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/>
      <c r="E21" s="3"/>
      <c r="F21" s="20">
        <f>IF(D$12=0,0,D21/D$12)</f>
        <v>0</v>
      </c>
      <c r="G21" s="3"/>
      <c r="H21" s="3">
        <v>424674</v>
      </c>
      <c r="I21" s="3"/>
      <c r="J21" s="20">
        <f>IF(H$12=0,0,H21/H$12)</f>
        <v>0.27870722333644848</v>
      </c>
      <c r="K21" s="3"/>
      <c r="L21" s="3">
        <f>+D21-H21</f>
        <v>-424674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2066841</v>
      </c>
      <c r="U21" s="3"/>
      <c r="V21" s="20">
        <f>IF(T$12=0,0,T21/T$12)</f>
        <v>0.28969566999905388</v>
      </c>
      <c r="W21" s="3"/>
      <c r="X21" s="3">
        <f>+P21-T21</f>
        <v>-2066841</v>
      </c>
      <c r="Y21" s="3"/>
      <c r="Z21" s="20">
        <f>IF(T21=0,0,X21/T21)</f>
        <v>-1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390356.27</v>
      </c>
      <c r="E22" s="3"/>
      <c r="F22" s="20">
        <f>IF(D$12=0,0,D22/D$12)</f>
        <v>0.24290449320482563</v>
      </c>
      <c r="G22" s="3"/>
      <c r="H22" s="3"/>
      <c r="I22" s="3"/>
      <c r="J22" s="20">
        <f>IF(H$12=0,0,H22/H$12)</f>
        <v>0</v>
      </c>
      <c r="K22" s="3"/>
      <c r="L22" s="3">
        <f>+D22-H22</f>
        <v>390356.27</v>
      </c>
      <c r="M22" s="3"/>
      <c r="N22" s="20">
        <f>IF(H22=0,0,L22/H22)</f>
        <v>0</v>
      </c>
      <c r="O22" s="12"/>
      <c r="P22" s="3">
        <v>2262259.12</v>
      </c>
      <c r="Q22" s="3"/>
      <c r="R22" s="20">
        <f>IF(P$12=0,0,P22/P$12)</f>
        <v>0.26196429871712162</v>
      </c>
      <c r="S22" s="3"/>
      <c r="T22" s="3"/>
      <c r="U22" s="3"/>
      <c r="V22" s="20">
        <f>IF(T$12=0,0,T22/T$12)</f>
        <v>0</v>
      </c>
      <c r="W22" s="3"/>
      <c r="X22" s="3">
        <f>+P22-T22</f>
        <v>2262259.12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-3329.72</v>
      </c>
      <c r="E23" s="3"/>
      <c r="F23" s="20">
        <f>IF(D$12=0,0,D23/D$12)</f>
        <v>-2.0719635145452432E-3</v>
      </c>
      <c r="G23" s="3"/>
      <c r="H23" s="3"/>
      <c r="I23" s="3"/>
      <c r="J23" s="20">
        <f>IF(H$12=0,0,H23/H$12)</f>
        <v>0</v>
      </c>
      <c r="K23" s="3"/>
      <c r="L23" s="3">
        <f>+D23-H23</f>
        <v>-3329.72</v>
      </c>
      <c r="M23" s="3"/>
      <c r="N23" s="20">
        <f>IF(H23=0,0,L23/H23)</f>
        <v>0</v>
      </c>
      <c r="O23" s="12"/>
      <c r="P23" s="3">
        <v>-30035.57</v>
      </c>
      <c r="Q23" s="3"/>
      <c r="R23" s="20">
        <f>IF(P$12=0,0,P23/P$12)</f>
        <v>-3.4780485409730676E-3</v>
      </c>
      <c r="S23" s="3"/>
      <c r="T23" s="3"/>
      <c r="U23" s="3"/>
      <c r="V23" s="20">
        <f>IF(T$12=0,0,T23/T$12)</f>
        <v>0</v>
      </c>
      <c r="W23" s="3"/>
      <c r="X23" s="3">
        <f>+P23-T23</f>
        <v>-30035.57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8" t="s">
        <v>289</v>
      </c>
      <c r="C25" s="28"/>
      <c r="D25" s="21">
        <f>D12-D20</f>
        <v>1220009.47</v>
      </c>
      <c r="E25" s="15"/>
      <c r="F25" s="22">
        <f>IF(D$12=0,0,D25/D$12)</f>
        <v>0.75916747030971965</v>
      </c>
      <c r="G25" s="15"/>
      <c r="H25" s="21">
        <f>H12-H20</f>
        <v>1099054</v>
      </c>
      <c r="I25" s="15"/>
      <c r="J25" s="22">
        <f>IF(H$12=0,0,H25/H$12)</f>
        <v>0.72129277666355152</v>
      </c>
      <c r="K25" s="16"/>
      <c r="L25" s="21">
        <f>+D25-H25</f>
        <v>120955.46999999997</v>
      </c>
      <c r="M25" s="16"/>
      <c r="N25" s="22">
        <f>IF(H25=0,0,L25/H25)</f>
        <v>0.11005416476351478</v>
      </c>
      <c r="O25" s="27"/>
      <c r="P25" s="21">
        <f>P12-P20</f>
        <v>6403529.9899999984</v>
      </c>
      <c r="Q25" s="15"/>
      <c r="R25" s="22">
        <f>IF(P$12=0,0,P25/P$12)</f>
        <v>0.74151374982385143</v>
      </c>
      <c r="S25" s="15"/>
      <c r="T25" s="21">
        <f>T12-T20</f>
        <v>5067684</v>
      </c>
      <c r="U25" s="15"/>
      <c r="V25" s="22">
        <f>IF(T$12=0,0,T25/T$12)</f>
        <v>0.71030433000094606</v>
      </c>
      <c r="W25" s="16"/>
      <c r="X25" s="21">
        <f>+P25-T25</f>
        <v>1335845.9899999984</v>
      </c>
      <c r="Y25" s="16"/>
      <c r="Z25" s="22">
        <f>IF(T25=0,0,X25/T25)</f>
        <v>0.26360088553272032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7" t="s">
        <v>290</v>
      </c>
      <c r="C27" s="11"/>
      <c r="D27" s="23" cm="1">
        <f t="array" ref="D27">SUM(OSRRefD22x_0)</f>
        <v>731096.48000000021</v>
      </c>
      <c r="E27" s="23"/>
      <c r="F27" s="29">
        <f t="shared" ref="F27:F58" si="4">IF(D$12=0,0,D27/D$12)</f>
        <v>0.45493471888701054</v>
      </c>
      <c r="G27" s="23"/>
      <c r="H27" s="23" cm="1">
        <f t="array" ref="H27">SUM(OSRRefH22x_0)</f>
        <v>778700.78251576901</v>
      </c>
      <c r="I27" s="23"/>
      <c r="J27" s="29">
        <f t="shared" ref="J27:J58" si="5">IF(H$12=0,0,H27/H$12)</f>
        <v>0.51104972968651163</v>
      </c>
      <c r="K27" s="5"/>
      <c r="L27" s="23">
        <f t="shared" ref="L27:L58" si="6">+D27-H27</f>
        <v>-47604.302515768795</v>
      </c>
      <c r="M27" s="5"/>
      <c r="N27" s="29">
        <f t="shared" ref="N27:N58" si="7">IF(H27=0,0,L27/H27)</f>
        <v>-6.1132984048086259E-2</v>
      </c>
      <c r="O27" s="11"/>
      <c r="P27" s="23" cm="1">
        <f t="array" ref="P27">SUM(OSRRefP22x_0)</f>
        <v>5026072.3600000003</v>
      </c>
      <c r="Q27" s="23"/>
      <c r="R27" s="29">
        <f t="shared" ref="R27:R58" si="8">IF(P$12=0,0,P27/P$12)</f>
        <v>0.58200738785789863</v>
      </c>
      <c r="S27" s="23"/>
      <c r="T27" s="23" cm="1">
        <f t="array" ref="T27">SUM(OSRRefT22x_0)</f>
        <v>5502196.6135110362</v>
      </c>
      <c r="U27" s="23"/>
      <c r="V27" s="29">
        <f t="shared" ref="V27:V58" si="9">IF(T$12=0,0,T27/T$12)</f>
        <v>0.77120713901921101</v>
      </c>
      <c r="W27" s="5"/>
      <c r="X27" s="23">
        <f t="shared" ref="X27:X58" si="10">+P27-T27</f>
        <v>-476124.25351103581</v>
      </c>
      <c r="Y27" s="5"/>
      <c r="Z27" s="29">
        <f t="shared" ref="Z27:Z58" si="11">IF(T27=0,0,X27/T27)</f>
        <v>-8.6533485979377531E-2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115911.3</v>
      </c>
      <c r="E28" s="2"/>
      <c r="F28" s="6">
        <f t="shared" si="4"/>
        <v>7.2127381438531785E-2</v>
      </c>
      <c r="G28" s="2"/>
      <c r="H28" s="2">
        <f>SUM(OSRRefH22_0x_0)</f>
        <v>140416.74536192298</v>
      </c>
      <c r="I28" s="2"/>
      <c r="J28" s="6">
        <f t="shared" si="5"/>
        <v>9.2153419351697269E-2</v>
      </c>
      <c r="K28" s="2"/>
      <c r="L28" s="2">
        <f t="shared" si="6"/>
        <v>-24505.445361922975</v>
      </c>
      <c r="M28" s="2"/>
      <c r="N28" s="6">
        <f t="shared" si="7"/>
        <v>-0.17451939438391337</v>
      </c>
      <c r="O28" s="14"/>
      <c r="P28" s="2">
        <f>SUM(OSRRefP22_0x_0)</f>
        <v>932197.37</v>
      </c>
      <c r="Q28" s="2"/>
      <c r="R28" s="6">
        <f t="shared" si="8"/>
        <v>0.10794626846194132</v>
      </c>
      <c r="S28" s="2"/>
      <c r="T28" s="2">
        <f>SUM(OSRRefT22_0x_0)</f>
        <v>1133855.6622898832</v>
      </c>
      <c r="U28" s="2"/>
      <c r="V28" s="6">
        <f t="shared" si="9"/>
        <v>0.15892517894181929</v>
      </c>
      <c r="W28" s="2"/>
      <c r="X28" s="2">
        <f t="shared" si="10"/>
        <v>-201658.29228988325</v>
      </c>
      <c r="Y28" s="2"/>
      <c r="Z28" s="6">
        <f t="shared" si="11"/>
        <v>-0.17785181923651847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8">
        <v>16989.34</v>
      </c>
      <c r="E29" s="3"/>
      <c r="F29" s="7">
        <f t="shared" si="4"/>
        <v>1.0571847667733048E-2</v>
      </c>
      <c r="G29" s="3"/>
      <c r="H29" s="8">
        <v>15543.0634488462</v>
      </c>
      <c r="I29" s="3"/>
      <c r="J29" s="7">
        <f t="shared" si="5"/>
        <v>1.0200681124745493E-2</v>
      </c>
      <c r="K29" s="3"/>
      <c r="L29" s="8">
        <f t="shared" si="6"/>
        <v>1446.2765511538</v>
      </c>
      <c r="M29" s="3"/>
      <c r="N29" s="7">
        <f t="shared" si="7"/>
        <v>9.304964596674542E-2</v>
      </c>
      <c r="O29" s="12"/>
      <c r="P29" s="8">
        <v>128867.38</v>
      </c>
      <c r="Q29" s="3"/>
      <c r="R29" s="7">
        <f t="shared" si="8"/>
        <v>1.4922540274348776E-2</v>
      </c>
      <c r="S29" s="3"/>
      <c r="T29" s="8">
        <v>132447.882614114</v>
      </c>
      <c r="U29" s="3"/>
      <c r="V29" s="7">
        <f t="shared" si="9"/>
        <v>1.8564358890621871E-2</v>
      </c>
      <c r="W29" s="3"/>
      <c r="X29" s="8">
        <f t="shared" si="10"/>
        <v>-3580.502614113997</v>
      </c>
      <c r="Y29" s="3"/>
      <c r="Z29" s="7">
        <f t="shared" si="11"/>
        <v>-2.7033294481164087E-2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8">
        <v>11608.16</v>
      </c>
      <c r="E30" s="3"/>
      <c r="F30" s="7">
        <f t="shared" si="4"/>
        <v>7.2233352927584035E-3</v>
      </c>
      <c r="G30" s="3"/>
      <c r="H30" s="8">
        <v>15001.8864622692</v>
      </c>
      <c r="I30" s="3"/>
      <c r="J30" s="7">
        <f t="shared" si="5"/>
        <v>9.8455147259019979E-3</v>
      </c>
      <c r="K30" s="3"/>
      <c r="L30" s="8">
        <f t="shared" si="6"/>
        <v>-3393.7264622692001</v>
      </c>
      <c r="M30" s="3"/>
      <c r="N30" s="7">
        <f t="shared" si="7"/>
        <v>-0.22621998045410227</v>
      </c>
      <c r="O30" s="12"/>
      <c r="P30" s="8">
        <v>74619.16</v>
      </c>
      <c r="Q30" s="3"/>
      <c r="R30" s="7">
        <f t="shared" si="8"/>
        <v>8.6407236675260669E-3</v>
      </c>
      <c r="S30" s="3"/>
      <c r="T30" s="8">
        <v>103644.466869531</v>
      </c>
      <c r="U30" s="3"/>
      <c r="V30" s="7">
        <f t="shared" si="9"/>
        <v>1.4527171307064029E-2</v>
      </c>
      <c r="W30" s="3"/>
      <c r="X30" s="8">
        <f t="shared" si="10"/>
        <v>-29025.306869530992</v>
      </c>
      <c r="Y30" s="3"/>
      <c r="Z30" s="7">
        <f t="shared" si="11"/>
        <v>-0.28004685388626127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8">
        <v>55061.599999999999</v>
      </c>
      <c r="E31" s="3"/>
      <c r="F31" s="7">
        <f t="shared" si="4"/>
        <v>3.4262828782145156E-2</v>
      </c>
      <c r="G31" s="3"/>
      <c r="H31" s="8">
        <v>76737.1538461538</v>
      </c>
      <c r="I31" s="3"/>
      <c r="J31" s="7">
        <f t="shared" si="5"/>
        <v>5.0361451549196315E-2</v>
      </c>
      <c r="K31" s="3"/>
      <c r="L31" s="8">
        <f t="shared" si="6"/>
        <v>-21675.553846153802</v>
      </c>
      <c r="M31" s="3"/>
      <c r="N31" s="7">
        <f t="shared" si="7"/>
        <v>-0.28246491770609522</v>
      </c>
      <c r="O31" s="12"/>
      <c r="P31" s="8">
        <v>442818.46</v>
      </c>
      <c r="Q31" s="3"/>
      <c r="R31" s="7">
        <f t="shared" si="8"/>
        <v>5.1277338792602926E-2</v>
      </c>
      <c r="S31" s="3"/>
      <c r="T31" s="8">
        <v>638580.64230769197</v>
      </c>
      <c r="U31" s="3"/>
      <c r="V31" s="7">
        <f t="shared" si="9"/>
        <v>8.9505698320167346E-2</v>
      </c>
      <c r="W31" s="3"/>
      <c r="X31" s="8">
        <f t="shared" si="10"/>
        <v>-195762.18230769195</v>
      </c>
      <c r="Y31" s="3"/>
      <c r="Z31" s="7">
        <f t="shared" si="11"/>
        <v>-0.30655827837225047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8">
        <v>868.51</v>
      </c>
      <c r="E32" s="3"/>
      <c r="F32" s="7">
        <f t="shared" si="4"/>
        <v>5.4044214889470866E-4</v>
      </c>
      <c r="G32" s="3"/>
      <c r="H32" s="8">
        <v>831.23909157692299</v>
      </c>
      <c r="I32" s="3"/>
      <c r="J32" s="7">
        <f t="shared" si="5"/>
        <v>5.4552983969377935E-4</v>
      </c>
      <c r="K32" s="3"/>
      <c r="L32" s="8">
        <f t="shared" si="6"/>
        <v>37.270908423077003</v>
      </c>
      <c r="M32" s="3"/>
      <c r="N32" s="7">
        <f t="shared" si="7"/>
        <v>4.4837771467618651E-2</v>
      </c>
      <c r="O32" s="12"/>
      <c r="P32" s="8">
        <v>5641.03</v>
      </c>
      <c r="Q32" s="3"/>
      <c r="R32" s="7">
        <f t="shared" si="8"/>
        <v>6.5321803984693153E-4</v>
      </c>
      <c r="S32" s="3"/>
      <c r="T32" s="8">
        <v>5742.8332566230802</v>
      </c>
      <c r="U32" s="3"/>
      <c r="V32" s="7">
        <f t="shared" si="9"/>
        <v>8.0493561332016918E-4</v>
      </c>
      <c r="W32" s="3"/>
      <c r="X32" s="8">
        <f t="shared" si="10"/>
        <v>-101.80325662308042</v>
      </c>
      <c r="Y32" s="3"/>
      <c r="Z32" s="7">
        <f t="shared" si="11"/>
        <v>-1.7727008964725385E-2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8">
        <v>7072.52</v>
      </c>
      <c r="E33" s="3"/>
      <c r="F33" s="7">
        <f t="shared" si="4"/>
        <v>4.4009716720599702E-3</v>
      </c>
      <c r="G33" s="3"/>
      <c r="H33" s="8">
        <v>6656.33067076923</v>
      </c>
      <c r="I33" s="3"/>
      <c r="J33" s="7">
        <f t="shared" si="5"/>
        <v>4.3684507148055492E-3</v>
      </c>
      <c r="K33" s="3"/>
      <c r="L33" s="8">
        <f t="shared" si="6"/>
        <v>416.18932923077045</v>
      </c>
      <c r="M33" s="3"/>
      <c r="N33" s="7">
        <f t="shared" si="7"/>
        <v>6.2525338631152186E-2</v>
      </c>
      <c r="O33" s="12"/>
      <c r="P33" s="8">
        <v>60784.46</v>
      </c>
      <c r="Q33" s="3"/>
      <c r="R33" s="7">
        <f t="shared" si="8"/>
        <v>7.0386978644598978E-3</v>
      </c>
      <c r="S33" s="3"/>
      <c r="T33" s="8">
        <v>55151.880509230803</v>
      </c>
      <c r="U33" s="3"/>
      <c r="V33" s="7">
        <f t="shared" si="9"/>
        <v>7.7302806436631453E-3</v>
      </c>
      <c r="W33" s="3"/>
      <c r="X33" s="8">
        <f t="shared" si="10"/>
        <v>5632.5794907691961</v>
      </c>
      <c r="Y33" s="3"/>
      <c r="Z33" s="7">
        <f t="shared" si="11"/>
        <v>0.10212851200652112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8"/>
      <c r="E34" s="3"/>
      <c r="F34" s="7">
        <f t="shared" si="4"/>
        <v>0</v>
      </c>
      <c r="G34" s="3"/>
      <c r="H34" s="8">
        <v>0</v>
      </c>
      <c r="I34" s="3"/>
      <c r="J34" s="7">
        <f t="shared" si="5"/>
        <v>0</v>
      </c>
      <c r="K34" s="3"/>
      <c r="L34" s="8">
        <f t="shared" si="6"/>
        <v>0</v>
      </c>
      <c r="M34" s="3"/>
      <c r="N34" s="7">
        <f t="shared" si="7"/>
        <v>0</v>
      </c>
      <c r="O34" s="12"/>
      <c r="P34" s="8"/>
      <c r="Q34" s="3"/>
      <c r="R34" s="7">
        <f t="shared" si="8"/>
        <v>0</v>
      </c>
      <c r="S34" s="3"/>
      <c r="T34" s="8">
        <v>0</v>
      </c>
      <c r="U34" s="3"/>
      <c r="V34" s="7">
        <f t="shared" si="9"/>
        <v>0</v>
      </c>
      <c r="W34" s="3"/>
      <c r="X34" s="8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8">
        <v>1870.09</v>
      </c>
      <c r="E35" s="3"/>
      <c r="F35" s="7">
        <f t="shared" si="4"/>
        <v>1.1636889134569615E-3</v>
      </c>
      <c r="G35" s="3"/>
      <c r="H35" s="8"/>
      <c r="I35" s="3"/>
      <c r="J35" s="7">
        <f t="shared" si="5"/>
        <v>0</v>
      </c>
      <c r="K35" s="3"/>
      <c r="L35" s="8">
        <f t="shared" si="6"/>
        <v>1870.09</v>
      </c>
      <c r="M35" s="3"/>
      <c r="N35" s="7">
        <f t="shared" si="7"/>
        <v>0</v>
      </c>
      <c r="O35" s="12"/>
      <c r="P35" s="8">
        <v>13855.5</v>
      </c>
      <c r="Q35" s="3"/>
      <c r="R35" s="7">
        <f t="shared" si="8"/>
        <v>1.6044343942682739E-3</v>
      </c>
      <c r="S35" s="3"/>
      <c r="T35" s="8"/>
      <c r="U35" s="3"/>
      <c r="V35" s="7">
        <f t="shared" si="9"/>
        <v>0</v>
      </c>
      <c r="W35" s="3"/>
      <c r="X35" s="8">
        <f t="shared" si="10"/>
        <v>13855.5</v>
      </c>
      <c r="Y35" s="3"/>
      <c r="Z35" s="7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8">
        <v>9963.57</v>
      </c>
      <c r="E36" s="3"/>
      <c r="F36" s="7">
        <f t="shared" si="4"/>
        <v>6.1999668184164278E-3</v>
      </c>
      <c r="G36" s="3"/>
      <c r="H36" s="8">
        <v>8148.3863261538399</v>
      </c>
      <c r="I36" s="3"/>
      <c r="J36" s="7">
        <f t="shared" si="5"/>
        <v>5.3476646265959802E-3</v>
      </c>
      <c r="K36" s="3"/>
      <c r="L36" s="8">
        <f t="shared" si="6"/>
        <v>1815.1836738461598</v>
      </c>
      <c r="M36" s="3"/>
      <c r="N36" s="7">
        <f t="shared" si="7"/>
        <v>0.22276603013040419</v>
      </c>
      <c r="O36" s="12"/>
      <c r="P36" s="8">
        <v>92598.49</v>
      </c>
      <c r="Q36" s="3"/>
      <c r="R36" s="7">
        <f t="shared" si="8"/>
        <v>1.0722687901072269E-2</v>
      </c>
      <c r="S36" s="3"/>
      <c r="T36" s="8">
        <v>69685.425013846107</v>
      </c>
      <c r="U36" s="3"/>
      <c r="V36" s="7">
        <f t="shared" si="9"/>
        <v>9.7673531193521786E-3</v>
      </c>
      <c r="W36" s="3"/>
      <c r="X36" s="8">
        <f t="shared" si="10"/>
        <v>22913.064986153899</v>
      </c>
      <c r="Y36" s="3"/>
      <c r="Z36" s="7">
        <f t="shared" si="11"/>
        <v>0.32880713551795371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8">
        <v>7342.29</v>
      </c>
      <c r="E37" s="3"/>
      <c r="F37" s="7">
        <f t="shared" si="4"/>
        <v>4.5688397202198368E-3</v>
      </c>
      <c r="G37" s="3"/>
      <c r="H37" s="8">
        <v>11337.685516153801</v>
      </c>
      <c r="I37" s="3"/>
      <c r="J37" s="7">
        <f t="shared" si="5"/>
        <v>7.4407542003256492E-3</v>
      </c>
      <c r="K37" s="3"/>
      <c r="L37" s="8">
        <f t="shared" si="6"/>
        <v>-3995.3955161538006</v>
      </c>
      <c r="M37" s="3"/>
      <c r="N37" s="7">
        <f t="shared" si="7"/>
        <v>-0.35239957136412087</v>
      </c>
      <c r="O37" s="12"/>
      <c r="P37" s="8">
        <v>74947.12</v>
      </c>
      <c r="Q37" s="3"/>
      <c r="R37" s="7">
        <f t="shared" si="8"/>
        <v>8.6787006661146558E-3</v>
      </c>
      <c r="S37" s="3"/>
      <c r="T37" s="8">
        <v>78698.531718846105</v>
      </c>
      <c r="U37" s="3"/>
      <c r="V37" s="7">
        <f t="shared" si="9"/>
        <v>1.1030661707520277E-2</v>
      </c>
      <c r="W37" s="3"/>
      <c r="X37" s="8">
        <f t="shared" si="10"/>
        <v>-3751.4117188461096</v>
      </c>
      <c r="Y37" s="3"/>
      <c r="Z37" s="7">
        <f t="shared" si="11"/>
        <v>-4.7668128450581382E-2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8">
        <v>5135.22</v>
      </c>
      <c r="E38" s="3"/>
      <c r="F38" s="7">
        <f t="shared" si="4"/>
        <v>3.1954604228472739E-3</v>
      </c>
      <c r="G38" s="3"/>
      <c r="H38" s="8">
        <v>6161</v>
      </c>
      <c r="I38" s="3"/>
      <c r="J38" s="7">
        <f t="shared" si="5"/>
        <v>4.043372570432518E-3</v>
      </c>
      <c r="K38" s="3"/>
      <c r="L38" s="8">
        <f t="shared" si="6"/>
        <v>-1025.7799999999997</v>
      </c>
      <c r="M38" s="3"/>
      <c r="N38" s="7">
        <f t="shared" si="7"/>
        <v>-0.16649569875020284</v>
      </c>
      <c r="O38" s="12"/>
      <c r="P38" s="8">
        <v>38065.769999999997</v>
      </c>
      <c r="Q38" s="3"/>
      <c r="R38" s="7">
        <f t="shared" si="8"/>
        <v>4.4079268617015213E-3</v>
      </c>
      <c r="S38" s="3"/>
      <c r="T38" s="8">
        <v>49904</v>
      </c>
      <c r="U38" s="3"/>
      <c r="V38" s="7">
        <f t="shared" si="9"/>
        <v>6.9947193401102385E-3</v>
      </c>
      <c r="W38" s="3"/>
      <c r="X38" s="8">
        <f t="shared" si="10"/>
        <v>-11838.230000000003</v>
      </c>
      <c r="Y38" s="3"/>
      <c r="Z38" s="7">
        <f t="shared" si="11"/>
        <v>-0.23722006252003855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352180.46</v>
      </c>
      <c r="E39" s="2"/>
      <c r="F39" s="6">
        <f t="shared" si="4"/>
        <v>0.21914907669586647</v>
      </c>
      <c r="G39" s="2"/>
      <c r="H39" s="2">
        <f>SUM(OSRRefH22_1x_0)</f>
        <v>377635.03715384612</v>
      </c>
      <c r="I39" s="2"/>
      <c r="J39" s="6">
        <f t="shared" si="5"/>
        <v>0.24783625237171339</v>
      </c>
      <c r="K39" s="2"/>
      <c r="L39" s="2">
        <f t="shared" si="6"/>
        <v>-25454.577153846098</v>
      </c>
      <c r="M39" s="2"/>
      <c r="N39" s="6">
        <f t="shared" si="7"/>
        <v>-6.7405231637646126E-2</v>
      </c>
      <c r="O39" s="14"/>
      <c r="P39" s="2">
        <f>SUM(OSRRefP22_1x_0)</f>
        <v>2312835.5900000003</v>
      </c>
      <c r="Q39" s="2"/>
      <c r="R39" s="6">
        <f t="shared" si="8"/>
        <v>0.26782093528806294</v>
      </c>
      <c r="S39" s="2"/>
      <c r="T39" s="2">
        <f>SUM(OSRRefT22_1x_0)</f>
        <v>2595164.9512211531</v>
      </c>
      <c r="U39" s="2"/>
      <c r="V39" s="6">
        <f t="shared" si="9"/>
        <v>0.3637474045183321</v>
      </c>
      <c r="W39" s="2"/>
      <c r="X39" s="2">
        <f t="shared" si="10"/>
        <v>-282329.36122115282</v>
      </c>
      <c r="Y39" s="2"/>
      <c r="Z39" s="6">
        <f t="shared" si="11"/>
        <v>-0.10879052643197225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8">
        <v>20254.38</v>
      </c>
      <c r="E40" s="3"/>
      <c r="F40" s="7">
        <f t="shared" si="4"/>
        <v>1.2603563173400433E-2</v>
      </c>
      <c r="G40" s="3"/>
      <c r="H40" s="8">
        <v>10268.307692307701</v>
      </c>
      <c r="I40" s="3"/>
      <c r="J40" s="7">
        <f t="shared" si="5"/>
        <v>6.7389374562308365E-3</v>
      </c>
      <c r="K40" s="3"/>
      <c r="L40" s="8">
        <f t="shared" si="6"/>
        <v>9986.0723076923005</v>
      </c>
      <c r="M40" s="3"/>
      <c r="N40" s="7">
        <f t="shared" si="7"/>
        <v>0.97251393383674789</v>
      </c>
      <c r="O40" s="12"/>
      <c r="P40" s="8">
        <v>164043.74</v>
      </c>
      <c r="Q40" s="3"/>
      <c r="R40" s="7">
        <f t="shared" si="8"/>
        <v>1.8995880236758123E-2</v>
      </c>
      <c r="S40" s="3"/>
      <c r="T40" s="8">
        <v>89847.692307692298</v>
      </c>
      <c r="U40" s="3"/>
      <c r="V40" s="7">
        <f t="shared" si="9"/>
        <v>1.2593367085782486E-2</v>
      </c>
      <c r="W40" s="3"/>
      <c r="X40" s="8">
        <f t="shared" si="10"/>
        <v>74196.047692307693</v>
      </c>
      <c r="Y40" s="3"/>
      <c r="Z40" s="7">
        <f t="shared" si="11"/>
        <v>0.82579803428023502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8">
        <v>54595.5</v>
      </c>
      <c r="E41" s="3"/>
      <c r="F41" s="7">
        <f t="shared" si="4"/>
        <v>3.3972791723734977E-2</v>
      </c>
      <c r="G41" s="3"/>
      <c r="H41" s="8">
        <v>62017.5431615384</v>
      </c>
      <c r="I41" s="3"/>
      <c r="J41" s="7">
        <f t="shared" si="5"/>
        <v>4.0701190213435996E-2</v>
      </c>
      <c r="K41" s="3"/>
      <c r="L41" s="8">
        <f t="shared" si="6"/>
        <v>-7422.0431615384005</v>
      </c>
      <c r="M41" s="3"/>
      <c r="N41" s="7">
        <f t="shared" si="7"/>
        <v>-0.11967651059968706</v>
      </c>
      <c r="O41" s="12"/>
      <c r="P41" s="8">
        <v>477933.98</v>
      </c>
      <c r="Q41" s="3"/>
      <c r="R41" s="7">
        <f t="shared" si="8"/>
        <v>5.5343633625746111E-2</v>
      </c>
      <c r="S41" s="3"/>
      <c r="T41" s="8">
        <v>508508.59316346102</v>
      </c>
      <c r="U41" s="3"/>
      <c r="V41" s="7">
        <f t="shared" si="9"/>
        <v>7.1274344565820574E-2</v>
      </c>
      <c r="W41" s="3"/>
      <c r="X41" s="8">
        <f t="shared" si="10"/>
        <v>-30574.613163461036</v>
      </c>
      <c r="Y41" s="3"/>
      <c r="Z41" s="7">
        <f t="shared" si="11"/>
        <v>-6.0126050128778787E-2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8">
        <v>114347.52</v>
      </c>
      <c r="E43" s="3"/>
      <c r="F43" s="7">
        <f t="shared" si="4"/>
        <v>7.115429808474362E-2</v>
      </c>
      <c r="G43" s="3"/>
      <c r="H43" s="8">
        <v>116204.42479999999</v>
      </c>
      <c r="I43" s="3"/>
      <c r="J43" s="7">
        <f t="shared" si="5"/>
        <v>7.6263233858011398E-2</v>
      </c>
      <c r="K43" s="3"/>
      <c r="L43" s="8">
        <f t="shared" si="6"/>
        <v>-1856.9047999999893</v>
      </c>
      <c r="M43" s="3"/>
      <c r="N43" s="7">
        <f t="shared" si="7"/>
        <v>-1.5979639357071966E-2</v>
      </c>
      <c r="O43" s="12"/>
      <c r="P43" s="8">
        <v>692735.18</v>
      </c>
      <c r="Q43" s="3"/>
      <c r="R43" s="7">
        <f t="shared" si="8"/>
        <v>8.0217108650833507E-2</v>
      </c>
      <c r="S43" s="3"/>
      <c r="T43" s="8">
        <v>961229.08239999996</v>
      </c>
      <c r="U43" s="3"/>
      <c r="V43" s="7">
        <f t="shared" si="9"/>
        <v>0.13472923318651206</v>
      </c>
      <c r="W43" s="3"/>
      <c r="X43" s="8">
        <f t="shared" si="10"/>
        <v>-268493.9023999999</v>
      </c>
      <c r="Y43" s="3"/>
      <c r="Z43" s="7">
        <f t="shared" si="11"/>
        <v>-0.27932353204464377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8">
        <v>54284.05</v>
      </c>
      <c r="E44" s="3"/>
      <c r="F44" s="7">
        <f t="shared" si="4"/>
        <v>3.3778987729223393E-2</v>
      </c>
      <c r="G44" s="3"/>
      <c r="H44" s="8">
        <v>39042.490299999998</v>
      </c>
      <c r="I44" s="3"/>
      <c r="J44" s="7">
        <f t="shared" si="5"/>
        <v>2.5623005090147321E-2</v>
      </c>
      <c r="K44" s="3"/>
      <c r="L44" s="8">
        <f t="shared" si="6"/>
        <v>15241.559700000005</v>
      </c>
      <c r="M44" s="3"/>
      <c r="N44" s="7">
        <f t="shared" si="7"/>
        <v>0.39038390181786142</v>
      </c>
      <c r="O44" s="12"/>
      <c r="P44" s="8">
        <v>386712.71</v>
      </c>
      <c r="Q44" s="3"/>
      <c r="R44" s="7">
        <f t="shared" si="8"/>
        <v>4.4780424569643297E-2</v>
      </c>
      <c r="S44" s="3"/>
      <c r="T44" s="8">
        <v>238339.0686</v>
      </c>
      <c r="U44" s="3"/>
      <c r="V44" s="7">
        <f t="shared" si="9"/>
        <v>3.340643821417684E-2</v>
      </c>
      <c r="W44" s="3"/>
      <c r="X44" s="8">
        <f t="shared" si="10"/>
        <v>148373.64140000002</v>
      </c>
      <c r="Y44" s="3"/>
      <c r="Z44" s="7">
        <f t="shared" si="11"/>
        <v>0.62253176649361142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8">
        <v>644.6</v>
      </c>
      <c r="E45" s="3"/>
      <c r="F45" s="7">
        <f t="shared" si="4"/>
        <v>4.0111110888479029E-4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644.6</v>
      </c>
      <c r="M45" s="3"/>
      <c r="N45" s="7">
        <f t="shared" si="7"/>
        <v>0</v>
      </c>
      <c r="O45" s="12"/>
      <c r="P45" s="8">
        <v>644.6</v>
      </c>
      <c r="Q45" s="3"/>
      <c r="R45" s="7">
        <f t="shared" si="8"/>
        <v>7.4643167734497444E-5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644.6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8">
        <v>56974.9</v>
      </c>
      <c r="E46" s="3"/>
      <c r="F46" s="7">
        <f t="shared" si="4"/>
        <v>3.5453405705243621E-2</v>
      </c>
      <c r="G46" s="3"/>
      <c r="H46" s="8">
        <v>1415.6956</v>
      </c>
      <c r="I46" s="3"/>
      <c r="J46" s="7">
        <f t="shared" si="5"/>
        <v>9.2909994434702253E-4</v>
      </c>
      <c r="K46" s="3"/>
      <c r="L46" s="8">
        <f t="shared" si="6"/>
        <v>55559.204400000002</v>
      </c>
      <c r="M46" s="3"/>
      <c r="N46" s="7">
        <f t="shared" si="7"/>
        <v>39.245162872583627</v>
      </c>
      <c r="O46" s="12"/>
      <c r="P46" s="8">
        <v>455544.53</v>
      </c>
      <c r="Q46" s="3"/>
      <c r="R46" s="7">
        <f t="shared" si="8"/>
        <v>5.2750987842573385E-2</v>
      </c>
      <c r="S46" s="3"/>
      <c r="T46" s="8">
        <v>56987.1512</v>
      </c>
      <c r="U46" s="3"/>
      <c r="V46" s="7">
        <f t="shared" si="9"/>
        <v>7.9875186084567649E-3</v>
      </c>
      <c r="W46" s="3"/>
      <c r="X46" s="8">
        <f t="shared" si="10"/>
        <v>398557.37880000001</v>
      </c>
      <c r="Y46" s="3"/>
      <c r="Z46" s="7">
        <f t="shared" si="11"/>
        <v>6.9938112435422113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8">
        <v>51079.51</v>
      </c>
      <c r="E47" s="3"/>
      <c r="F47" s="7">
        <f t="shared" si="4"/>
        <v>3.1784919170635639E-2</v>
      </c>
      <c r="G47" s="3"/>
      <c r="H47" s="8">
        <v>148686.57560000001</v>
      </c>
      <c r="I47" s="3"/>
      <c r="J47" s="7">
        <f t="shared" si="5"/>
        <v>9.7580785809540813E-2</v>
      </c>
      <c r="K47" s="3"/>
      <c r="L47" s="8">
        <f t="shared" si="6"/>
        <v>-97607.065600000002</v>
      </c>
      <c r="M47" s="3"/>
      <c r="N47" s="7">
        <f t="shared" si="7"/>
        <v>-0.65646185747518149</v>
      </c>
      <c r="O47" s="12"/>
      <c r="P47" s="8">
        <v>135220.85</v>
      </c>
      <c r="Q47" s="3"/>
      <c r="R47" s="7">
        <f t="shared" si="8"/>
        <v>1.5658257194773997E-2</v>
      </c>
      <c r="S47" s="3"/>
      <c r="T47" s="8">
        <v>740253.36355000001</v>
      </c>
      <c r="U47" s="3"/>
      <c r="V47" s="7">
        <f t="shared" si="9"/>
        <v>0.10375650285758337</v>
      </c>
      <c r="W47" s="3"/>
      <c r="X47" s="8">
        <f t="shared" si="10"/>
        <v>-605032.51355000003</v>
      </c>
      <c r="Y47" s="3"/>
      <c r="Z47" s="7">
        <f t="shared" si="11"/>
        <v>-0.81733166418653291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8"/>
      <c r="E48" s="3"/>
      <c r="F48" s="7">
        <f t="shared" si="4"/>
        <v>0</v>
      </c>
      <c r="G48" s="3"/>
      <c r="H48" s="8">
        <v>0</v>
      </c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/>
      <c r="Q48" s="3"/>
      <c r="R48" s="7">
        <f t="shared" si="8"/>
        <v>0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8"/>
      <c r="E49" s="3"/>
      <c r="F49" s="7">
        <f t="shared" si="4"/>
        <v>0</v>
      </c>
      <c r="G49" s="3"/>
      <c r="H49" s="8">
        <v>0</v>
      </c>
      <c r="I49" s="3"/>
      <c r="J49" s="7">
        <f t="shared" si="5"/>
        <v>0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/>
      <c r="Q49" s="3"/>
      <c r="R49" s="7">
        <f t="shared" si="8"/>
        <v>0</v>
      </c>
      <c r="S49" s="3"/>
      <c r="T49" s="8">
        <v>0</v>
      </c>
      <c r="U49" s="3"/>
      <c r="V49" s="7">
        <f t="shared" si="9"/>
        <v>0</v>
      </c>
      <c r="W49" s="3"/>
      <c r="X49" s="8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153.55000000000001</v>
      </c>
      <c r="E50" s="2"/>
      <c r="F50" s="6">
        <f t="shared" si="4"/>
        <v>9.554857395169028E-5</v>
      </c>
      <c r="G50" s="2"/>
      <c r="H50" s="2">
        <f>SUM(OSRRefH22_2x_0)</f>
        <v>1319</v>
      </c>
      <c r="I50" s="2"/>
      <c r="J50" s="6">
        <f t="shared" si="5"/>
        <v>8.6564006174330327E-4</v>
      </c>
      <c r="K50" s="2"/>
      <c r="L50" s="2">
        <f t="shared" si="6"/>
        <v>-1165.45</v>
      </c>
      <c r="M50" s="2"/>
      <c r="N50" s="6">
        <f t="shared" si="7"/>
        <v>-0.88358605003790758</v>
      </c>
      <c r="O50" s="14"/>
      <c r="P50" s="2">
        <f>SUM(OSRRefP22_2x_0)</f>
        <v>4749.91</v>
      </c>
      <c r="Q50" s="2"/>
      <c r="R50" s="6">
        <f t="shared" si="8"/>
        <v>5.5002843446131983E-4</v>
      </c>
      <c r="S50" s="2"/>
      <c r="T50" s="2">
        <f>SUM(OSRRefT22_2x_0)</f>
        <v>10552</v>
      </c>
      <c r="U50" s="2"/>
      <c r="V50" s="6">
        <f t="shared" si="9"/>
        <v>1.4790052596353647E-3</v>
      </c>
      <c r="W50" s="2"/>
      <c r="X50" s="2">
        <f t="shared" si="10"/>
        <v>-5802.09</v>
      </c>
      <c r="Y50" s="2"/>
      <c r="Z50" s="6">
        <f t="shared" si="11"/>
        <v>-0.54985689916603486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8">
        <v>153.55000000000001</v>
      </c>
      <c r="E51" s="3"/>
      <c r="F51" s="7">
        <f t="shared" si="4"/>
        <v>9.554857395169028E-5</v>
      </c>
      <c r="G51" s="3"/>
      <c r="H51" s="8">
        <v>1319</v>
      </c>
      <c r="I51" s="3"/>
      <c r="J51" s="7">
        <f t="shared" si="5"/>
        <v>8.6564006174330327E-4</v>
      </c>
      <c r="K51" s="3"/>
      <c r="L51" s="8">
        <f t="shared" si="6"/>
        <v>-1165.45</v>
      </c>
      <c r="M51" s="3"/>
      <c r="N51" s="7">
        <f t="shared" si="7"/>
        <v>-0.88358605003790758</v>
      </c>
      <c r="O51" s="12"/>
      <c r="P51" s="8">
        <v>4749.91</v>
      </c>
      <c r="Q51" s="3"/>
      <c r="R51" s="7">
        <f t="shared" si="8"/>
        <v>5.5002843446131983E-4</v>
      </c>
      <c r="S51" s="3"/>
      <c r="T51" s="8">
        <v>10552</v>
      </c>
      <c r="U51" s="3"/>
      <c r="V51" s="7">
        <f t="shared" si="9"/>
        <v>1.4790052596353647E-3</v>
      </c>
      <c r="W51" s="3"/>
      <c r="X51" s="8">
        <f t="shared" si="10"/>
        <v>-5802.09</v>
      </c>
      <c r="Y51" s="3"/>
      <c r="Z51" s="7">
        <f t="shared" si="11"/>
        <v>-0.54985689916603486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-8.5399999999999991</v>
      </c>
      <c r="E52" s="2"/>
      <c r="F52" s="6">
        <f t="shared" si="4"/>
        <v>-5.3141310423147822E-6</v>
      </c>
      <c r="G52" s="2"/>
      <c r="H52" s="2">
        <f>SUM(OSRRefH22_3x_0)</f>
        <v>43</v>
      </c>
      <c r="I52" s="2"/>
      <c r="J52" s="6">
        <f t="shared" si="5"/>
        <v>2.8220259783898438E-5</v>
      </c>
      <c r="K52" s="2"/>
      <c r="L52" s="2">
        <f t="shared" si="6"/>
        <v>-51.54</v>
      </c>
      <c r="M52" s="2"/>
      <c r="N52" s="6">
        <f t="shared" si="7"/>
        <v>-1.1986046511627906</v>
      </c>
      <c r="O52" s="14"/>
      <c r="P52" s="2">
        <f>SUM(OSRRefP22_3x_0)</f>
        <v>-97.29</v>
      </c>
      <c r="Q52" s="2"/>
      <c r="R52" s="6">
        <f t="shared" si="8"/>
        <v>-1.1265953752543061E-5</v>
      </c>
      <c r="S52" s="2"/>
      <c r="T52" s="2">
        <f>SUM(OSRRefT22_3x_0)</f>
        <v>306</v>
      </c>
      <c r="U52" s="2"/>
      <c r="V52" s="6">
        <f t="shared" si="9"/>
        <v>4.2890031221419788E-5</v>
      </c>
      <c r="W52" s="2"/>
      <c r="X52" s="2">
        <f t="shared" si="10"/>
        <v>-403.29</v>
      </c>
      <c r="Y52" s="2"/>
      <c r="Z52" s="6">
        <f t="shared" si="11"/>
        <v>-1.3179411764705884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8">
        <v>-8.5399999999999991</v>
      </c>
      <c r="E53" s="3"/>
      <c r="F53" s="7">
        <f t="shared" si="4"/>
        <v>-5.3141310423147822E-6</v>
      </c>
      <c r="G53" s="3"/>
      <c r="H53" s="8">
        <v>43</v>
      </c>
      <c r="I53" s="3"/>
      <c r="J53" s="7">
        <f t="shared" si="5"/>
        <v>2.8220259783898438E-5</v>
      </c>
      <c r="K53" s="3"/>
      <c r="L53" s="8">
        <f t="shared" si="6"/>
        <v>-51.54</v>
      </c>
      <c r="M53" s="3"/>
      <c r="N53" s="7">
        <f t="shared" si="7"/>
        <v>-1.1986046511627906</v>
      </c>
      <c r="O53" s="12"/>
      <c r="P53" s="8">
        <v>-97.29</v>
      </c>
      <c r="Q53" s="3"/>
      <c r="R53" s="7">
        <f t="shared" si="8"/>
        <v>-1.1265953752543061E-5</v>
      </c>
      <c r="S53" s="3"/>
      <c r="T53" s="8">
        <v>306</v>
      </c>
      <c r="U53" s="3"/>
      <c r="V53" s="7">
        <f t="shared" si="9"/>
        <v>4.2890031221419788E-5</v>
      </c>
      <c r="W53" s="3"/>
      <c r="X53" s="8">
        <f t="shared" si="10"/>
        <v>-403.29</v>
      </c>
      <c r="Y53" s="3"/>
      <c r="Z53" s="7">
        <f t="shared" si="11"/>
        <v>-1.3179411764705884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6456.22</v>
      </c>
      <c r="E54" s="2"/>
      <c r="F54" s="6">
        <f t="shared" si="4"/>
        <v>4.0174706227182142E-3</v>
      </c>
      <c r="G54" s="2"/>
      <c r="H54" s="2">
        <f>SUM(OSRRefH22_4x_0)</f>
        <v>18285</v>
      </c>
      <c r="I54" s="2"/>
      <c r="J54" s="6">
        <f t="shared" si="5"/>
        <v>1.2000173259269371E-2</v>
      </c>
      <c r="K54" s="2"/>
      <c r="L54" s="2">
        <f t="shared" si="6"/>
        <v>-11828.779999999999</v>
      </c>
      <c r="M54" s="2"/>
      <c r="N54" s="6">
        <f t="shared" si="7"/>
        <v>-0.64691167623735291</v>
      </c>
      <c r="O54" s="14"/>
      <c r="P54" s="2">
        <f>SUM(OSRRefP22_4x_0)</f>
        <v>30454.85</v>
      </c>
      <c r="Q54" s="2"/>
      <c r="R54" s="6">
        <f t="shared" si="8"/>
        <v>3.5266001813201355E-3</v>
      </c>
      <c r="S54" s="2"/>
      <c r="T54" s="2">
        <f>SUM(OSRRefT22_4x_0)</f>
        <v>54645</v>
      </c>
      <c r="U54" s="2"/>
      <c r="V54" s="6">
        <f t="shared" si="9"/>
        <v>7.6592344970407983E-3</v>
      </c>
      <c r="W54" s="2"/>
      <c r="X54" s="2">
        <f t="shared" si="10"/>
        <v>-24190.15</v>
      </c>
      <c r="Y54" s="2"/>
      <c r="Z54" s="6">
        <f t="shared" si="11"/>
        <v>-0.44267819562631533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8">
        <v>6456.22</v>
      </c>
      <c r="E55" s="3"/>
      <c r="F55" s="7">
        <f t="shared" si="4"/>
        <v>4.0174706227182142E-3</v>
      </c>
      <c r="G55" s="3"/>
      <c r="H55" s="8">
        <v>18285</v>
      </c>
      <c r="I55" s="3"/>
      <c r="J55" s="7">
        <f t="shared" si="5"/>
        <v>1.2000173259269371E-2</v>
      </c>
      <c r="K55" s="3"/>
      <c r="L55" s="8">
        <f t="shared" si="6"/>
        <v>-11828.779999999999</v>
      </c>
      <c r="M55" s="3"/>
      <c r="N55" s="7">
        <f t="shared" si="7"/>
        <v>-0.64691167623735291</v>
      </c>
      <c r="O55" s="12"/>
      <c r="P55" s="8">
        <v>30454.85</v>
      </c>
      <c r="Q55" s="3"/>
      <c r="R55" s="7">
        <f t="shared" si="8"/>
        <v>3.5266001813201355E-3</v>
      </c>
      <c r="S55" s="3"/>
      <c r="T55" s="8">
        <v>54645</v>
      </c>
      <c r="U55" s="3"/>
      <c r="V55" s="7">
        <f t="shared" si="9"/>
        <v>7.6592344970407983E-3</v>
      </c>
      <c r="W55" s="3"/>
      <c r="X55" s="8">
        <f t="shared" si="10"/>
        <v>-24190.15</v>
      </c>
      <c r="Y55" s="3"/>
      <c r="Z55" s="7">
        <f t="shared" si="11"/>
        <v>-0.44267819562631533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33542.080000000002</v>
      </c>
      <c r="E56" s="2"/>
      <c r="F56" s="6">
        <f t="shared" si="4"/>
        <v>2.0872015052904664E-2</v>
      </c>
      <c r="G56" s="2"/>
      <c r="H56" s="2">
        <f>SUM(OSRRefH22_5x_0)</f>
        <v>33269</v>
      </c>
      <c r="I56" s="2"/>
      <c r="J56" s="6">
        <f t="shared" si="5"/>
        <v>2.1833949366291096E-2</v>
      </c>
      <c r="K56" s="2"/>
      <c r="L56" s="2">
        <f t="shared" si="6"/>
        <v>273.08000000000175</v>
      </c>
      <c r="M56" s="2"/>
      <c r="N56" s="6">
        <f t="shared" si="7"/>
        <v>8.208241906880331E-3</v>
      </c>
      <c r="O56" s="14"/>
      <c r="P56" s="2">
        <f>SUM(OSRRefP22_5x_0)</f>
        <v>268424.78000000003</v>
      </c>
      <c r="Q56" s="2"/>
      <c r="R56" s="6">
        <f t="shared" si="8"/>
        <v>3.1082959785348398E-2</v>
      </c>
      <c r="S56" s="2"/>
      <c r="T56" s="2">
        <f>SUM(OSRRefT22_5x_0)</f>
        <v>266240</v>
      </c>
      <c r="U56" s="2"/>
      <c r="V56" s="6">
        <f t="shared" si="9"/>
        <v>3.7317130432649684E-2</v>
      </c>
      <c r="W56" s="2"/>
      <c r="X56" s="2">
        <f t="shared" si="10"/>
        <v>2184.7800000000279</v>
      </c>
      <c r="Y56" s="2"/>
      <c r="Z56" s="6">
        <f t="shared" si="11"/>
        <v>8.2060546875001045E-3</v>
      </c>
    </row>
    <row r="57" spans="1:26" s="70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8">
        <v>23539.4</v>
      </c>
      <c r="E57" s="3"/>
      <c r="F57" s="7">
        <f t="shared" si="4"/>
        <v>1.4647711505557916E-2</v>
      </c>
      <c r="G57" s="3"/>
      <c r="H57" s="8"/>
      <c r="I57" s="3"/>
      <c r="J57" s="7">
        <f t="shared" si="5"/>
        <v>0</v>
      </c>
      <c r="K57" s="3"/>
      <c r="L57" s="8">
        <f t="shared" si="6"/>
        <v>23539.4</v>
      </c>
      <c r="M57" s="3"/>
      <c r="N57" s="7">
        <f t="shared" si="7"/>
        <v>0</v>
      </c>
      <c r="O57" s="12"/>
      <c r="P57" s="8">
        <v>188403.34</v>
      </c>
      <c r="Q57" s="3"/>
      <c r="R57" s="7">
        <f t="shared" si="8"/>
        <v>2.1816664767855338E-2</v>
      </c>
      <c r="S57" s="3"/>
      <c r="T57" s="8"/>
      <c r="U57" s="3"/>
      <c r="V57" s="7">
        <f t="shared" si="9"/>
        <v>0</v>
      </c>
      <c r="W57" s="3"/>
      <c r="X57" s="8">
        <f t="shared" si="10"/>
        <v>188403.34</v>
      </c>
      <c r="Y57" s="3"/>
      <c r="Z57" s="7">
        <f t="shared" si="11"/>
        <v>0</v>
      </c>
    </row>
    <row r="58" spans="1:26" s="70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10002.68</v>
      </c>
      <c r="E58" s="3"/>
      <c r="F58" s="7">
        <f t="shared" si="4"/>
        <v>6.2243035473467483E-3</v>
      </c>
      <c r="G58" s="3"/>
      <c r="H58" s="8">
        <v>33269</v>
      </c>
      <c r="I58" s="3"/>
      <c r="J58" s="7">
        <f t="shared" si="5"/>
        <v>2.1833949366291096E-2</v>
      </c>
      <c r="K58" s="3"/>
      <c r="L58" s="8">
        <f t="shared" si="6"/>
        <v>-23266.32</v>
      </c>
      <c r="M58" s="3"/>
      <c r="N58" s="7">
        <f t="shared" si="7"/>
        <v>-0.69933932489705131</v>
      </c>
      <c r="O58" s="12"/>
      <c r="P58" s="8">
        <v>80021.440000000002</v>
      </c>
      <c r="Q58" s="3"/>
      <c r="R58" s="7">
        <f t="shared" si="8"/>
        <v>9.2662950174930547E-3</v>
      </c>
      <c r="S58" s="3"/>
      <c r="T58" s="8">
        <v>266240</v>
      </c>
      <c r="U58" s="3"/>
      <c r="V58" s="7">
        <f t="shared" si="9"/>
        <v>3.7317130432649684E-2</v>
      </c>
      <c r="W58" s="3"/>
      <c r="X58" s="8">
        <f t="shared" si="10"/>
        <v>-186218.56</v>
      </c>
      <c r="Y58" s="3"/>
      <c r="Z58" s="7">
        <f t="shared" si="11"/>
        <v>-0.69943870192307689</v>
      </c>
    </row>
    <row r="59" spans="1:26" s="69" customFormat="1" ht="15" customHeight="1" outlineLevel="1" collapsed="1" x14ac:dyDescent="0.3">
      <c r="A59" s="25"/>
      <c r="B59" s="14" t="str">
        <f>CONCATENATE("     ","Donations                                         ")</f>
        <v xml:space="preserve">     Donations                                         </v>
      </c>
      <c r="C59" s="14"/>
      <c r="D59" s="2">
        <f>SUM(OSRRefD22_6x_0)</f>
        <v>8683.56</v>
      </c>
      <c r="E59" s="2"/>
      <c r="F59" s="6">
        <f t="shared" ref="F59:F90" si="12">IF(D$12=0,0,D59/D$12)</f>
        <v>5.4034632030214233E-3</v>
      </c>
      <c r="G59" s="2"/>
      <c r="H59" s="2">
        <f>SUM(OSRRefH22_6x_0)</f>
        <v>15500</v>
      </c>
      <c r="I59" s="2"/>
      <c r="J59" s="6">
        <f t="shared" ref="J59:J90" si="13">IF(H$12=0,0,H59/H$12)</f>
        <v>1.0172419224428507E-2</v>
      </c>
      <c r="K59" s="2"/>
      <c r="L59" s="2">
        <f t="shared" ref="L59:L90" si="14">+D59-H59</f>
        <v>-6816.4400000000005</v>
      </c>
      <c r="M59" s="2"/>
      <c r="N59" s="6">
        <f t="shared" ref="N59:N90" si="15">IF(H59=0,0,L59/H59)</f>
        <v>-0.43977032258064519</v>
      </c>
      <c r="O59" s="14"/>
      <c r="P59" s="2">
        <f>SUM(OSRRefP22_6x_0)</f>
        <v>49310.21</v>
      </c>
      <c r="Q59" s="2"/>
      <c r="R59" s="6">
        <f t="shared" ref="R59:R90" si="16">IF(P$12=0,0,P59/P$12)</f>
        <v>5.7100066336538829E-3</v>
      </c>
      <c r="S59" s="2"/>
      <c r="T59" s="2">
        <f>SUM(OSRRefT22_6x_0)</f>
        <v>108500</v>
      </c>
      <c r="U59" s="2"/>
      <c r="V59" s="6">
        <f t="shared" ref="V59:V90" si="17">IF(T$12=0,0,T59/T$12)</f>
        <v>1.5207739828509956E-2</v>
      </c>
      <c r="W59" s="2"/>
      <c r="X59" s="2">
        <f t="shared" ref="X59:X90" si="18">+P59-T59</f>
        <v>-59189.79</v>
      </c>
      <c r="Y59" s="2"/>
      <c r="Z59" s="6">
        <f t="shared" ref="Z59:Z90" si="19">IF(T59=0,0,X59/T59)</f>
        <v>-0.54552801843317977</v>
      </c>
    </row>
    <row r="60" spans="1:26" s="70" customFormat="1" ht="15" hidden="1" customHeight="1" outlineLevel="2" x14ac:dyDescent="0.3">
      <c r="A60" s="26"/>
      <c r="B60" s="12" t="str">
        <f>CONCATENATE("          ","6399"," - ","DONATION-ON CAMPUS")</f>
        <v xml:space="preserve">          6399 - DONATION-ON CAMPUS</v>
      </c>
      <c r="C60" s="12"/>
      <c r="D60" s="8">
        <v>8683.56</v>
      </c>
      <c r="E60" s="3"/>
      <c r="F60" s="7">
        <f t="shared" si="12"/>
        <v>5.4034632030214233E-3</v>
      </c>
      <c r="G60" s="3"/>
      <c r="H60" s="8">
        <v>15500</v>
      </c>
      <c r="I60" s="3"/>
      <c r="J60" s="7">
        <f t="shared" si="13"/>
        <v>1.0172419224428507E-2</v>
      </c>
      <c r="K60" s="3"/>
      <c r="L60" s="8">
        <f t="shared" si="14"/>
        <v>-6816.4400000000005</v>
      </c>
      <c r="M60" s="3"/>
      <c r="N60" s="7">
        <f t="shared" si="15"/>
        <v>-0.43977032258064519</v>
      </c>
      <c r="O60" s="12"/>
      <c r="P60" s="8">
        <v>49310.21</v>
      </c>
      <c r="Q60" s="3"/>
      <c r="R60" s="7">
        <f t="shared" si="16"/>
        <v>5.7100066336538829E-3</v>
      </c>
      <c r="S60" s="3"/>
      <c r="T60" s="8">
        <v>108500</v>
      </c>
      <c r="U60" s="3"/>
      <c r="V60" s="7">
        <f t="shared" si="17"/>
        <v>1.5207739828509956E-2</v>
      </c>
      <c r="W60" s="3"/>
      <c r="X60" s="8">
        <f t="shared" si="18"/>
        <v>-59189.79</v>
      </c>
      <c r="Y60" s="3"/>
      <c r="Z60" s="7">
        <f t="shared" si="19"/>
        <v>-0.54552801843317977</v>
      </c>
    </row>
    <row r="61" spans="1:26" s="69" customFormat="1" ht="15" customHeight="1" outlineLevel="1" collapsed="1" x14ac:dyDescent="0.3">
      <c r="A61" s="25"/>
      <c r="B61" s="14" t="str">
        <f>CONCATENATE("     ","Employees' Appreciation                           ")</f>
        <v xml:space="preserve">     Employees' Appreciation                           </v>
      </c>
      <c r="C61" s="14"/>
      <c r="D61" s="2">
        <f>SUM(OSRRefD22_7x_0)</f>
        <v>87.37</v>
      </c>
      <c r="E61" s="2"/>
      <c r="F61" s="6">
        <f t="shared" si="12"/>
        <v>5.4367169691691169E-5</v>
      </c>
      <c r="G61" s="2"/>
      <c r="H61" s="2">
        <f>SUM(OSRRefH22_7x_0)</f>
        <v>200</v>
      </c>
      <c r="I61" s="2"/>
      <c r="J61" s="6">
        <f t="shared" si="13"/>
        <v>1.3125702225069041E-4</v>
      </c>
      <c r="K61" s="2"/>
      <c r="L61" s="2">
        <f t="shared" si="14"/>
        <v>-112.63</v>
      </c>
      <c r="M61" s="2"/>
      <c r="N61" s="6">
        <f t="shared" si="15"/>
        <v>-0.56314999999999993</v>
      </c>
      <c r="O61" s="14"/>
      <c r="P61" s="2">
        <f>SUM(OSRRefP22_7x_0)</f>
        <v>640.58000000000004</v>
      </c>
      <c r="Q61" s="2"/>
      <c r="R61" s="6">
        <f t="shared" si="16"/>
        <v>7.4177661165628883E-5</v>
      </c>
      <c r="S61" s="2"/>
      <c r="T61" s="2">
        <f>SUM(OSRRefT22_7x_0)</f>
        <v>2330</v>
      </c>
      <c r="U61" s="2"/>
      <c r="V61" s="6">
        <f t="shared" si="17"/>
        <v>3.2658095668597418E-4</v>
      </c>
      <c r="W61" s="2"/>
      <c r="X61" s="2">
        <f t="shared" si="18"/>
        <v>-1689.42</v>
      </c>
      <c r="Y61" s="2"/>
      <c r="Z61" s="6">
        <f t="shared" si="19"/>
        <v>-0.72507296137339061</v>
      </c>
    </row>
    <row r="62" spans="1:26" s="70" customFormat="1" ht="15" hidden="1" customHeight="1" outlineLevel="2" x14ac:dyDescent="0.3">
      <c r="A62" s="26"/>
      <c r="B62" s="12" t="str">
        <f>CONCATENATE("          ","6277"," - ","EMPLOYEE APPRECIATION")</f>
        <v xml:space="preserve">          6277 - EMPLOYEE APPRECIATION</v>
      </c>
      <c r="C62" s="12"/>
      <c r="D62" s="8">
        <v>87.37</v>
      </c>
      <c r="E62" s="3"/>
      <c r="F62" s="7">
        <f t="shared" si="12"/>
        <v>5.4367169691691169E-5</v>
      </c>
      <c r="G62" s="3"/>
      <c r="H62" s="8">
        <v>200</v>
      </c>
      <c r="I62" s="3"/>
      <c r="J62" s="7">
        <f t="shared" si="13"/>
        <v>1.3125702225069041E-4</v>
      </c>
      <c r="K62" s="3"/>
      <c r="L62" s="8">
        <f t="shared" si="14"/>
        <v>-112.63</v>
      </c>
      <c r="M62" s="3"/>
      <c r="N62" s="7">
        <f t="shared" si="15"/>
        <v>-0.56314999999999993</v>
      </c>
      <c r="O62" s="12"/>
      <c r="P62" s="8">
        <v>640.58000000000004</v>
      </c>
      <c r="Q62" s="3"/>
      <c r="R62" s="7">
        <f t="shared" si="16"/>
        <v>7.4177661165628883E-5</v>
      </c>
      <c r="S62" s="3"/>
      <c r="T62" s="8">
        <v>2330</v>
      </c>
      <c r="U62" s="3"/>
      <c r="V62" s="7">
        <f t="shared" si="17"/>
        <v>3.2658095668597418E-4</v>
      </c>
      <c r="W62" s="3"/>
      <c r="X62" s="8">
        <f t="shared" si="18"/>
        <v>-1689.42</v>
      </c>
      <c r="Y62" s="3"/>
      <c r="Z62" s="7">
        <f t="shared" si="19"/>
        <v>-0.72507296137339061</v>
      </c>
    </row>
    <row r="63" spans="1:26" s="69" customFormat="1" ht="15" customHeight="1" outlineLevel="1" collapsed="1" x14ac:dyDescent="0.3">
      <c r="A63" s="25"/>
      <c r="B63" s="14" t="str">
        <f>CONCATENATE("     ","Equipment Rental                                  ")</f>
        <v xml:space="preserve">     Equipment Rental                                  </v>
      </c>
      <c r="C63" s="14"/>
      <c r="D63" s="2">
        <f>SUM(OSRRefD22_8x_0)</f>
        <v>1535.59</v>
      </c>
      <c r="E63" s="2"/>
      <c r="F63" s="6">
        <f t="shared" si="12"/>
        <v>9.5554174323983097E-4</v>
      </c>
      <c r="G63" s="2"/>
      <c r="H63" s="2">
        <f>SUM(OSRRefH22_8x_0)</f>
        <v>1570</v>
      </c>
      <c r="I63" s="2"/>
      <c r="J63" s="6">
        <f t="shared" si="13"/>
        <v>1.0303676246679197E-3</v>
      </c>
      <c r="K63" s="2"/>
      <c r="L63" s="2">
        <f t="shared" si="14"/>
        <v>-34.410000000000082</v>
      </c>
      <c r="M63" s="2"/>
      <c r="N63" s="6">
        <f t="shared" si="15"/>
        <v>-2.1917197452229351E-2</v>
      </c>
      <c r="O63" s="14"/>
      <c r="P63" s="2">
        <f>SUM(OSRRefP22_8x_0)</f>
        <v>16519.91</v>
      </c>
      <c r="Q63" s="2"/>
      <c r="R63" s="6">
        <f t="shared" si="16"/>
        <v>1.9129668214222799E-3</v>
      </c>
      <c r="S63" s="2"/>
      <c r="T63" s="2">
        <f>SUM(OSRRefT22_8x_0)</f>
        <v>12560</v>
      </c>
      <c r="U63" s="2"/>
      <c r="V63" s="6">
        <f t="shared" si="17"/>
        <v>1.7604535690883415E-3</v>
      </c>
      <c r="W63" s="2"/>
      <c r="X63" s="2">
        <f t="shared" si="18"/>
        <v>3959.91</v>
      </c>
      <c r="Y63" s="2"/>
      <c r="Z63" s="6">
        <f t="shared" si="19"/>
        <v>0.31527945859872608</v>
      </c>
    </row>
    <row r="64" spans="1:26" s="70" customFormat="1" ht="15" hidden="1" customHeight="1" outlineLevel="2" x14ac:dyDescent="0.3">
      <c r="A64" s="26"/>
      <c r="B64" s="12" t="str">
        <f>CONCATENATE("          ","6351"," - ","EQUIPMENT RENTAL")</f>
        <v xml:space="preserve">          6351 - EQUIPMENT RENTAL</v>
      </c>
      <c r="C64" s="12"/>
      <c r="D64" s="8">
        <v>1535.59</v>
      </c>
      <c r="E64" s="3"/>
      <c r="F64" s="7">
        <f t="shared" si="12"/>
        <v>9.5554174323983097E-4</v>
      </c>
      <c r="G64" s="3"/>
      <c r="H64" s="8">
        <v>1570</v>
      </c>
      <c r="I64" s="3"/>
      <c r="J64" s="7">
        <f t="shared" si="13"/>
        <v>1.0303676246679197E-3</v>
      </c>
      <c r="K64" s="3"/>
      <c r="L64" s="8">
        <f t="shared" si="14"/>
        <v>-34.410000000000082</v>
      </c>
      <c r="M64" s="3"/>
      <c r="N64" s="7">
        <f t="shared" si="15"/>
        <v>-2.1917197452229351E-2</v>
      </c>
      <c r="O64" s="12"/>
      <c r="P64" s="8">
        <v>16519.91</v>
      </c>
      <c r="Q64" s="3"/>
      <c r="R64" s="7">
        <f t="shared" si="16"/>
        <v>1.9129668214222799E-3</v>
      </c>
      <c r="S64" s="3"/>
      <c r="T64" s="8">
        <v>12560</v>
      </c>
      <c r="U64" s="3"/>
      <c r="V64" s="7">
        <f t="shared" si="17"/>
        <v>1.7604535690883415E-3</v>
      </c>
      <c r="W64" s="3"/>
      <c r="X64" s="8">
        <f t="shared" si="18"/>
        <v>3959.91</v>
      </c>
      <c r="Y64" s="3"/>
      <c r="Z64" s="7">
        <f t="shared" si="19"/>
        <v>0.31527945859872608</v>
      </c>
    </row>
    <row r="65" spans="1:26" s="69" customFormat="1" ht="15" customHeight="1" outlineLevel="1" collapsed="1" x14ac:dyDescent="0.3">
      <c r="A65" s="25"/>
      <c r="B65" s="14" t="str">
        <f>CONCATENATE("     ","General                                           ")</f>
        <v xml:space="preserve">     General                                           </v>
      </c>
      <c r="C65" s="14"/>
      <c r="D65" s="2">
        <f>SUM(OSRRefD22_9x_0)</f>
        <v>2872.63</v>
      </c>
      <c r="E65" s="2"/>
      <c r="F65" s="6">
        <f t="shared" si="12"/>
        <v>1.7875330510637838E-3</v>
      </c>
      <c r="G65" s="2"/>
      <c r="H65" s="2">
        <f>SUM(OSRRefH22_9x_0)</f>
        <v>530</v>
      </c>
      <c r="I65" s="2"/>
      <c r="J65" s="6">
        <f t="shared" si="13"/>
        <v>3.4783110896432958E-4</v>
      </c>
      <c r="K65" s="2"/>
      <c r="L65" s="2">
        <f t="shared" si="14"/>
        <v>2342.63</v>
      </c>
      <c r="M65" s="2"/>
      <c r="N65" s="6">
        <f t="shared" si="15"/>
        <v>4.4200566037735847</v>
      </c>
      <c r="O65" s="14"/>
      <c r="P65" s="2">
        <f>SUM(OSRRefP22_9x_0)</f>
        <v>30827.279999999999</v>
      </c>
      <c r="Q65" s="2"/>
      <c r="R65" s="6">
        <f t="shared" si="16"/>
        <v>3.5697267015797674E-3</v>
      </c>
      <c r="S65" s="2"/>
      <c r="T65" s="2">
        <f>SUM(OSRRefT22_9x_0)</f>
        <v>14630</v>
      </c>
      <c r="U65" s="2"/>
      <c r="V65" s="6">
        <f t="shared" si="17"/>
        <v>2.0505920155861812E-3</v>
      </c>
      <c r="W65" s="2"/>
      <c r="X65" s="2">
        <f t="shared" si="18"/>
        <v>16197.279999999999</v>
      </c>
      <c r="Y65" s="2"/>
      <c r="Z65" s="6">
        <f t="shared" si="19"/>
        <v>1.1071278195488721</v>
      </c>
    </row>
    <row r="66" spans="1:26" s="70" customFormat="1" ht="15" hidden="1" customHeight="1" outlineLevel="2" x14ac:dyDescent="0.3">
      <c r="A66" s="26"/>
      <c r="B66" s="12" t="str">
        <f>CONCATENATE("          ","6269"," - ","ENTERTAINMENT")</f>
        <v xml:space="preserve">          6269 - ENTERTAINMENT</v>
      </c>
      <c r="C66" s="12"/>
      <c r="D66" s="8"/>
      <c r="E66" s="3"/>
      <c r="F66" s="7">
        <f t="shared" si="12"/>
        <v>0</v>
      </c>
      <c r="G66" s="3"/>
      <c r="H66" s="8"/>
      <c r="I66" s="3"/>
      <c r="J66" s="7">
        <f t="shared" si="13"/>
        <v>0</v>
      </c>
      <c r="K66" s="3"/>
      <c r="L66" s="8">
        <f t="shared" si="14"/>
        <v>0</v>
      </c>
      <c r="M66" s="3"/>
      <c r="N66" s="7">
        <f t="shared" si="15"/>
        <v>0</v>
      </c>
      <c r="O66" s="12"/>
      <c r="P66" s="8"/>
      <c r="Q66" s="3"/>
      <c r="R66" s="7">
        <f t="shared" si="16"/>
        <v>0</v>
      </c>
      <c r="S66" s="3"/>
      <c r="T66" s="8">
        <v>250</v>
      </c>
      <c r="U66" s="3"/>
      <c r="V66" s="7">
        <f t="shared" si="17"/>
        <v>3.5040875180898519E-5</v>
      </c>
      <c r="W66" s="3"/>
      <c r="X66" s="8">
        <f t="shared" si="18"/>
        <v>-250</v>
      </c>
      <c r="Y66" s="3"/>
      <c r="Z66" s="7">
        <f t="shared" si="19"/>
        <v>-1</v>
      </c>
    </row>
    <row r="67" spans="1:26" s="70" customFormat="1" ht="15" hidden="1" customHeight="1" outlineLevel="2" x14ac:dyDescent="0.3">
      <c r="A67" s="26"/>
      <c r="B67" s="12" t="str">
        <f>CONCATENATE("          ","6279"," - ","GENERAL EXPENSE")</f>
        <v xml:space="preserve">          6279 - GENERAL EXPENSE</v>
      </c>
      <c r="C67" s="12"/>
      <c r="D67" s="8">
        <v>2872.63</v>
      </c>
      <c r="E67" s="3"/>
      <c r="F67" s="7">
        <f t="shared" si="12"/>
        <v>1.7875330510637838E-3</v>
      </c>
      <c r="G67" s="3"/>
      <c r="H67" s="8">
        <v>530</v>
      </c>
      <c r="I67" s="3"/>
      <c r="J67" s="7">
        <f t="shared" si="13"/>
        <v>3.4783110896432958E-4</v>
      </c>
      <c r="K67" s="3"/>
      <c r="L67" s="8">
        <f t="shared" si="14"/>
        <v>2342.63</v>
      </c>
      <c r="M67" s="3"/>
      <c r="N67" s="7">
        <f t="shared" si="15"/>
        <v>4.4200566037735847</v>
      </c>
      <c r="O67" s="12"/>
      <c r="P67" s="8">
        <v>30827.279999999999</v>
      </c>
      <c r="Q67" s="3"/>
      <c r="R67" s="7">
        <f t="shared" si="16"/>
        <v>3.5697267015797674E-3</v>
      </c>
      <c r="S67" s="3"/>
      <c r="T67" s="8">
        <v>14380</v>
      </c>
      <c r="U67" s="3"/>
      <c r="V67" s="7">
        <f t="shared" si="17"/>
        <v>2.0155511404052829E-3</v>
      </c>
      <c r="W67" s="3"/>
      <c r="X67" s="8">
        <f t="shared" si="18"/>
        <v>16447.28</v>
      </c>
      <c r="Y67" s="3"/>
      <c r="Z67" s="7">
        <f t="shared" si="19"/>
        <v>1.143760778859527</v>
      </c>
    </row>
    <row r="68" spans="1:26" s="69" customFormat="1" ht="15" customHeight="1" outlineLevel="1" collapsed="1" x14ac:dyDescent="0.3">
      <c r="A68" s="25"/>
      <c r="B68" s="14" t="str">
        <f>CONCATENATE("     ","Insurance                                         ")</f>
        <v xml:space="preserve">     Insurance                                         </v>
      </c>
      <c r="C68" s="14"/>
      <c r="D68" s="2">
        <f>SUM(OSRRefD22_10x_0)</f>
        <v>5761.42</v>
      </c>
      <c r="E68" s="2"/>
      <c r="F68" s="6">
        <f t="shared" si="12"/>
        <v>3.5851218817111517E-3</v>
      </c>
      <c r="G68" s="2"/>
      <c r="H68" s="2">
        <f>SUM(OSRRefH22_10x_0)</f>
        <v>5680</v>
      </c>
      <c r="I68" s="2"/>
      <c r="J68" s="6">
        <f t="shared" si="13"/>
        <v>3.7276994319196078E-3</v>
      </c>
      <c r="K68" s="2"/>
      <c r="L68" s="2">
        <f t="shared" si="14"/>
        <v>81.420000000000073</v>
      </c>
      <c r="M68" s="2"/>
      <c r="N68" s="6">
        <f t="shared" si="15"/>
        <v>1.4334507042253534E-2</v>
      </c>
      <c r="O68" s="14"/>
      <c r="P68" s="2">
        <f>SUM(OSRRefP22_10x_0)</f>
        <v>52974.37</v>
      </c>
      <c r="Q68" s="2"/>
      <c r="R68" s="6">
        <f t="shared" si="16"/>
        <v>6.1343077653418085E-3</v>
      </c>
      <c r="S68" s="2"/>
      <c r="T68" s="2">
        <f>SUM(OSRRefT22_10x_0)</f>
        <v>45440</v>
      </c>
      <c r="U68" s="2"/>
      <c r="V68" s="6">
        <f t="shared" si="17"/>
        <v>6.3690294728801144E-3</v>
      </c>
      <c r="W68" s="2"/>
      <c r="X68" s="2">
        <f t="shared" si="18"/>
        <v>7534.3700000000026</v>
      </c>
      <c r="Y68" s="2"/>
      <c r="Z68" s="6">
        <f t="shared" si="19"/>
        <v>0.16580919894366203</v>
      </c>
    </row>
    <row r="69" spans="1:26" s="70" customFormat="1" ht="15" hidden="1" customHeight="1" outlineLevel="2" x14ac:dyDescent="0.3">
      <c r="A69" s="26"/>
      <c r="B69" s="12" t="str">
        <f>CONCATENATE("          ","6314"," - ","LIABILITY INSURANCE")</f>
        <v xml:space="preserve">          6314 - LIABILITY INSURANCE</v>
      </c>
      <c r="C69" s="12"/>
      <c r="D69" s="8">
        <v>5761.42</v>
      </c>
      <c r="E69" s="3"/>
      <c r="F69" s="7">
        <f t="shared" si="12"/>
        <v>3.5851218817111517E-3</v>
      </c>
      <c r="G69" s="3"/>
      <c r="H69" s="8">
        <v>5680</v>
      </c>
      <c r="I69" s="3"/>
      <c r="J69" s="7">
        <f t="shared" si="13"/>
        <v>3.7276994319196078E-3</v>
      </c>
      <c r="K69" s="3"/>
      <c r="L69" s="8">
        <f t="shared" si="14"/>
        <v>81.420000000000073</v>
      </c>
      <c r="M69" s="3"/>
      <c r="N69" s="7">
        <f t="shared" si="15"/>
        <v>1.4334507042253534E-2</v>
      </c>
      <c r="O69" s="12"/>
      <c r="P69" s="8">
        <v>52974.37</v>
      </c>
      <c r="Q69" s="3"/>
      <c r="R69" s="7">
        <f t="shared" si="16"/>
        <v>6.1343077653418085E-3</v>
      </c>
      <c r="S69" s="3"/>
      <c r="T69" s="8">
        <v>45440</v>
      </c>
      <c r="U69" s="3"/>
      <c r="V69" s="7">
        <f t="shared" si="17"/>
        <v>6.3690294728801144E-3</v>
      </c>
      <c r="W69" s="3"/>
      <c r="X69" s="8">
        <f t="shared" si="18"/>
        <v>7534.3700000000026</v>
      </c>
      <c r="Y69" s="3"/>
      <c r="Z69" s="7">
        <f t="shared" si="19"/>
        <v>0.16580919894366203</v>
      </c>
    </row>
    <row r="70" spans="1:26" s="69" customFormat="1" ht="15" customHeight="1" outlineLevel="1" collapsed="1" x14ac:dyDescent="0.3">
      <c r="A70" s="25"/>
      <c r="B70" s="14" t="str">
        <f>CONCATENATE("     ","Interest                                          ")</f>
        <v xml:space="preserve">     Interest                                          </v>
      </c>
      <c r="C70" s="14"/>
      <c r="D70" s="2">
        <f>SUM(OSRRefD22_11x_0)</f>
        <v>7253</v>
      </c>
      <c r="E70" s="2"/>
      <c r="F70" s="6">
        <f t="shared" si="12"/>
        <v>4.5132778044390072E-3</v>
      </c>
      <c r="G70" s="2"/>
      <c r="H70" s="2">
        <f>SUM(OSRRefH22_11x_0)</f>
        <v>7253</v>
      </c>
      <c r="I70" s="2"/>
      <c r="J70" s="6">
        <f t="shared" si="13"/>
        <v>4.7600359119212877E-3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SUM(OSRRefP22_11x_0)</f>
        <v>57510</v>
      </c>
      <c r="Q70" s="2"/>
      <c r="R70" s="6">
        <f t="shared" si="16"/>
        <v>6.6595230785152773E-3</v>
      </c>
      <c r="S70" s="2"/>
      <c r="T70" s="2">
        <f>SUM(OSRRefT22_11x_0)</f>
        <v>58024</v>
      </c>
      <c r="U70" s="2"/>
      <c r="V70" s="6">
        <f t="shared" si="17"/>
        <v>8.1328469659858217E-3</v>
      </c>
      <c r="W70" s="2"/>
      <c r="X70" s="2">
        <f t="shared" si="18"/>
        <v>-514</v>
      </c>
      <c r="Y70" s="2"/>
      <c r="Z70" s="6">
        <f t="shared" si="19"/>
        <v>-8.8584034192747824E-3</v>
      </c>
    </row>
    <row r="71" spans="1:26" s="70" customFormat="1" ht="15" hidden="1" customHeight="1" outlineLevel="2" x14ac:dyDescent="0.3">
      <c r="A71" s="26"/>
      <c r="B71" s="12" t="str">
        <f>CONCATENATE("          ","6401"," - ","INTEREST EXPENSE")</f>
        <v xml:space="preserve">          6401 - INTEREST EXPENSE</v>
      </c>
      <c r="C71" s="12"/>
      <c r="D71" s="8">
        <v>7253</v>
      </c>
      <c r="E71" s="3"/>
      <c r="F71" s="7">
        <f t="shared" si="12"/>
        <v>4.5132778044390072E-3</v>
      </c>
      <c r="G71" s="3"/>
      <c r="H71" s="8">
        <v>7253</v>
      </c>
      <c r="I71" s="3"/>
      <c r="J71" s="7">
        <f t="shared" si="13"/>
        <v>4.7600359119212877E-3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57510</v>
      </c>
      <c r="Q71" s="3"/>
      <c r="R71" s="7">
        <f t="shared" si="16"/>
        <v>6.6595230785152773E-3</v>
      </c>
      <c r="S71" s="3"/>
      <c r="T71" s="8">
        <v>58024</v>
      </c>
      <c r="U71" s="3"/>
      <c r="V71" s="7">
        <f t="shared" si="17"/>
        <v>8.1328469659858217E-3</v>
      </c>
      <c r="W71" s="3"/>
      <c r="X71" s="8">
        <f t="shared" si="18"/>
        <v>-514</v>
      </c>
      <c r="Y71" s="3"/>
      <c r="Z71" s="7">
        <f t="shared" si="19"/>
        <v>-8.8584034192747824E-3</v>
      </c>
    </row>
    <row r="72" spans="1:26" s="69" customFormat="1" ht="15" customHeight="1" outlineLevel="1" collapsed="1" x14ac:dyDescent="0.3">
      <c r="A72" s="25"/>
      <c r="B72" s="14" t="str">
        <f>CONCATENATE("     ","R/H Commissions                                   ")</f>
        <v xml:space="preserve">     R/H Commissions                                   </v>
      </c>
      <c r="C72" s="14"/>
      <c r="D72" s="2">
        <f>SUM(OSRRefD22_12x_0)</f>
        <v>109401.29</v>
      </c>
      <c r="E72" s="2"/>
      <c r="F72" s="6">
        <f t="shared" si="12"/>
        <v>6.807643925741004E-2</v>
      </c>
      <c r="G72" s="2"/>
      <c r="H72" s="2">
        <f>SUM(OSRRefH22_12x_0)</f>
        <v>90317</v>
      </c>
      <c r="I72" s="2"/>
      <c r="J72" s="6">
        <f t="shared" si="13"/>
        <v>5.9273702393078033E-2</v>
      </c>
      <c r="K72" s="2"/>
      <c r="L72" s="2">
        <f t="shared" si="14"/>
        <v>19084.289999999994</v>
      </c>
      <c r="M72" s="2"/>
      <c r="N72" s="6">
        <f t="shared" si="15"/>
        <v>0.21130340910349096</v>
      </c>
      <c r="O72" s="14"/>
      <c r="P72" s="2">
        <f>SUM(OSRRefP22_12x_0)</f>
        <v>609028.68999999994</v>
      </c>
      <c r="Q72" s="2"/>
      <c r="R72" s="6">
        <f t="shared" si="16"/>
        <v>7.0524093488661566E-2</v>
      </c>
      <c r="S72" s="2"/>
      <c r="T72" s="2">
        <f>SUM(OSRRefT22_12x_0)</f>
        <v>484906</v>
      </c>
      <c r="U72" s="2"/>
      <c r="V72" s="6">
        <f t="shared" si="17"/>
        <v>6.7966122481875113E-2</v>
      </c>
      <c r="W72" s="2"/>
      <c r="X72" s="2">
        <f t="shared" si="18"/>
        <v>124122.68999999994</v>
      </c>
      <c r="Y72" s="2"/>
      <c r="Z72" s="6">
        <f t="shared" si="19"/>
        <v>0.25597268336543566</v>
      </c>
    </row>
    <row r="73" spans="1:26" s="70" customFormat="1" ht="15" hidden="1" customHeight="1" outlineLevel="2" x14ac:dyDescent="0.3">
      <c r="A73" s="26"/>
      <c r="B73" s="12" t="str">
        <f>CONCATENATE("          ","6387"," - ","COMMISSION DUE HOUSING")</f>
        <v xml:space="preserve">          6387 - COMMISSION DUE HOUSING</v>
      </c>
      <c r="C73" s="12"/>
      <c r="D73" s="8">
        <v>109401.29</v>
      </c>
      <c r="E73" s="3"/>
      <c r="F73" s="7">
        <f t="shared" si="12"/>
        <v>6.807643925741004E-2</v>
      </c>
      <c r="G73" s="3"/>
      <c r="H73" s="8">
        <v>90317</v>
      </c>
      <c r="I73" s="3"/>
      <c r="J73" s="7">
        <f t="shared" si="13"/>
        <v>5.9273702393078033E-2</v>
      </c>
      <c r="K73" s="3"/>
      <c r="L73" s="8">
        <f t="shared" si="14"/>
        <v>19084.289999999994</v>
      </c>
      <c r="M73" s="3"/>
      <c r="N73" s="7">
        <f t="shared" si="15"/>
        <v>0.21130340910349096</v>
      </c>
      <c r="O73" s="12"/>
      <c r="P73" s="8">
        <v>609028.68999999994</v>
      </c>
      <c r="Q73" s="3"/>
      <c r="R73" s="7">
        <f t="shared" si="16"/>
        <v>7.0524093488661566E-2</v>
      </c>
      <c r="S73" s="3"/>
      <c r="T73" s="8">
        <v>484906</v>
      </c>
      <c r="U73" s="3"/>
      <c r="V73" s="7">
        <f t="shared" si="17"/>
        <v>6.7966122481875113E-2</v>
      </c>
      <c r="W73" s="3"/>
      <c r="X73" s="8">
        <f t="shared" si="18"/>
        <v>124122.68999999994</v>
      </c>
      <c r="Y73" s="3"/>
      <c r="Z73" s="7">
        <f t="shared" si="19"/>
        <v>0.25597268336543566</v>
      </c>
    </row>
    <row r="74" spans="1:26" s="69" customFormat="1" ht="15" customHeight="1" outlineLevel="1" collapsed="1" x14ac:dyDescent="0.3">
      <c r="A74" s="25"/>
      <c r="B74" s="14" t="str">
        <f>CONCATENATE("     ","Rent                                              ")</f>
        <v xml:space="preserve">     Rent                                              </v>
      </c>
      <c r="C74" s="14"/>
      <c r="D74" s="2">
        <f>SUM(OSRRefD22_13x_0)</f>
        <v>1850</v>
      </c>
      <c r="E74" s="2"/>
      <c r="F74" s="6">
        <f t="shared" si="12"/>
        <v>1.151187637972172E-3</v>
      </c>
      <c r="G74" s="2"/>
      <c r="H74" s="2">
        <f>SUM(OSRRefH22_13x_0)</f>
        <v>1850</v>
      </c>
      <c r="I74" s="2"/>
      <c r="J74" s="6">
        <f t="shared" si="13"/>
        <v>1.2141274558188863E-3</v>
      </c>
      <c r="K74" s="2"/>
      <c r="L74" s="2">
        <f t="shared" si="14"/>
        <v>0</v>
      </c>
      <c r="M74" s="2"/>
      <c r="N74" s="6">
        <f t="shared" si="15"/>
        <v>0</v>
      </c>
      <c r="O74" s="14"/>
      <c r="P74" s="2">
        <f>SUM(OSRRefP22_13x_0)</f>
        <v>14800</v>
      </c>
      <c r="Q74" s="2"/>
      <c r="R74" s="6">
        <f t="shared" si="16"/>
        <v>1.7138052784215982E-3</v>
      </c>
      <c r="S74" s="2"/>
      <c r="T74" s="2">
        <f>SUM(OSRRefT22_13x_0)</f>
        <v>14800</v>
      </c>
      <c r="U74" s="2"/>
      <c r="V74" s="6">
        <f t="shared" si="17"/>
        <v>2.0744198107091921E-3</v>
      </c>
      <c r="W74" s="2"/>
      <c r="X74" s="2">
        <f t="shared" si="18"/>
        <v>0</v>
      </c>
      <c r="Y74" s="2"/>
      <c r="Z74" s="6">
        <f t="shared" si="19"/>
        <v>0</v>
      </c>
    </row>
    <row r="75" spans="1:26" s="70" customFormat="1" ht="15" hidden="1" customHeight="1" outlineLevel="2" x14ac:dyDescent="0.3">
      <c r="A75" s="26"/>
      <c r="B75" s="12" t="str">
        <f>CONCATENATE("          ","6273"," - ","RENT")</f>
        <v xml:space="preserve">          6273 - RENT</v>
      </c>
      <c r="C75" s="12"/>
      <c r="D75" s="8">
        <v>1850</v>
      </c>
      <c r="E75" s="3"/>
      <c r="F75" s="7">
        <f t="shared" si="12"/>
        <v>1.151187637972172E-3</v>
      </c>
      <c r="G75" s="3"/>
      <c r="H75" s="8">
        <v>1850</v>
      </c>
      <c r="I75" s="3"/>
      <c r="J75" s="7">
        <f t="shared" si="13"/>
        <v>1.2141274558188863E-3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>
        <v>14800</v>
      </c>
      <c r="Q75" s="3"/>
      <c r="R75" s="7">
        <f t="shared" si="16"/>
        <v>1.7138052784215982E-3</v>
      </c>
      <c r="S75" s="3"/>
      <c r="T75" s="8">
        <v>14800</v>
      </c>
      <c r="U75" s="3"/>
      <c r="V75" s="7">
        <f t="shared" si="17"/>
        <v>2.0744198107091921E-3</v>
      </c>
      <c r="W75" s="3"/>
      <c r="X75" s="8">
        <f t="shared" si="18"/>
        <v>0</v>
      </c>
      <c r="Y75" s="3"/>
      <c r="Z75" s="7">
        <f t="shared" si="19"/>
        <v>0</v>
      </c>
    </row>
    <row r="76" spans="1:26" s="69" customFormat="1" ht="15" customHeight="1" outlineLevel="1" collapsed="1" x14ac:dyDescent="0.3">
      <c r="A76" s="25"/>
      <c r="B76" s="14" t="str">
        <f>CONCATENATE("     ","Repair and Maintenance                            ")</f>
        <v xml:space="preserve">     Repair and Maintenance                            </v>
      </c>
      <c r="C76" s="14"/>
      <c r="D76" s="2">
        <f>SUM(OSRRefD22_14x_0)</f>
        <v>8465.98</v>
      </c>
      <c r="E76" s="2"/>
      <c r="F76" s="6">
        <f t="shared" si="12"/>
        <v>5.2680710915241338E-3</v>
      </c>
      <c r="G76" s="2"/>
      <c r="H76" s="2">
        <f>SUM(OSRRefH22_14x_0)</f>
        <v>9379</v>
      </c>
      <c r="I76" s="2"/>
      <c r="J76" s="6">
        <f t="shared" si="13"/>
        <v>6.1552980584461273E-3</v>
      </c>
      <c r="K76" s="2"/>
      <c r="L76" s="2">
        <f t="shared" si="14"/>
        <v>-913.02000000000044</v>
      </c>
      <c r="M76" s="2"/>
      <c r="N76" s="6">
        <f t="shared" si="15"/>
        <v>-9.7347265166862179E-2</v>
      </c>
      <c r="O76" s="14"/>
      <c r="P76" s="2">
        <f>SUM(OSRRefP22_14x_0)</f>
        <v>95821.959999999992</v>
      </c>
      <c r="Q76" s="2"/>
      <c r="R76" s="6">
        <f t="shared" si="16"/>
        <v>1.109595816464211E-2</v>
      </c>
      <c r="S76" s="2"/>
      <c r="T76" s="2">
        <f>SUM(OSRRefT22_14x_0)</f>
        <v>84659</v>
      </c>
      <c r="U76" s="2"/>
      <c r="V76" s="6">
        <f t="shared" si="17"/>
        <v>1.1866101807758751E-2</v>
      </c>
      <c r="W76" s="2"/>
      <c r="X76" s="2">
        <f t="shared" si="18"/>
        <v>11162.959999999992</v>
      </c>
      <c r="Y76" s="2"/>
      <c r="Z76" s="6">
        <f t="shared" si="19"/>
        <v>0.13185792414273723</v>
      </c>
    </row>
    <row r="77" spans="1:26" s="70" customFormat="1" ht="15" hidden="1" customHeight="1" outlineLevel="2" x14ac:dyDescent="0.3">
      <c r="A77" s="26"/>
      <c r="B77" s="12" t="str">
        <f>CONCATENATE("          ","6371"," - ","COMPUTER SOFTWARE MAINTENANCE")</f>
        <v xml:space="preserve">          6371 - COMPUTER SOFTWARE MAINTENANCE</v>
      </c>
      <c r="C77" s="12"/>
      <c r="D77" s="8">
        <v>3500</v>
      </c>
      <c r="E77" s="3"/>
      <c r="F77" s="7">
        <f t="shared" si="12"/>
        <v>2.1779225583257308E-3</v>
      </c>
      <c r="G77" s="3"/>
      <c r="H77" s="8">
        <v>3500</v>
      </c>
      <c r="I77" s="3"/>
      <c r="J77" s="7">
        <f t="shared" si="13"/>
        <v>2.2969978893870821E-3</v>
      </c>
      <c r="K77" s="3"/>
      <c r="L77" s="8">
        <f t="shared" si="14"/>
        <v>0</v>
      </c>
      <c r="M77" s="3"/>
      <c r="N77" s="7">
        <f t="shared" si="15"/>
        <v>0</v>
      </c>
      <c r="O77" s="12"/>
      <c r="P77" s="8">
        <v>34817.17</v>
      </c>
      <c r="Q77" s="3"/>
      <c r="R77" s="7">
        <f t="shared" si="16"/>
        <v>4.0317466030879807E-3</v>
      </c>
      <c r="S77" s="3"/>
      <c r="T77" s="8">
        <v>28000</v>
      </c>
      <c r="U77" s="3"/>
      <c r="V77" s="7">
        <f t="shared" si="17"/>
        <v>3.9245780202606341E-3</v>
      </c>
      <c r="W77" s="3"/>
      <c r="X77" s="8">
        <f t="shared" si="18"/>
        <v>6817.1699999999983</v>
      </c>
      <c r="Y77" s="3"/>
      <c r="Z77" s="7">
        <f t="shared" si="19"/>
        <v>0.24347035714285709</v>
      </c>
    </row>
    <row r="78" spans="1:26" s="70" customFormat="1" ht="15" hidden="1" customHeight="1" outlineLevel="2" x14ac:dyDescent="0.3">
      <c r="A78" s="26"/>
      <c r="B78" s="12" t="str">
        <f>CONCATENATE("          ","6372"," - ","COMPUTER HARDWARE MAINTENANCE")</f>
        <v xml:space="preserve">          6372 - COMPUTER HARDWARE MAINTENANCE</v>
      </c>
      <c r="C78" s="12"/>
      <c r="D78" s="8"/>
      <c r="E78" s="3"/>
      <c r="F78" s="7">
        <f t="shared" si="12"/>
        <v>0</v>
      </c>
      <c r="G78" s="3"/>
      <c r="H78" s="8"/>
      <c r="I78" s="3"/>
      <c r="J78" s="7">
        <f t="shared" si="13"/>
        <v>0</v>
      </c>
      <c r="K78" s="3"/>
      <c r="L78" s="8">
        <f t="shared" si="14"/>
        <v>0</v>
      </c>
      <c r="M78" s="3"/>
      <c r="N78" s="7">
        <f t="shared" si="15"/>
        <v>0</v>
      </c>
      <c r="O78" s="12"/>
      <c r="P78" s="8"/>
      <c r="Q78" s="3"/>
      <c r="R78" s="7">
        <f t="shared" si="16"/>
        <v>0</v>
      </c>
      <c r="S78" s="3"/>
      <c r="T78" s="8">
        <v>8000</v>
      </c>
      <c r="U78" s="3"/>
      <c r="V78" s="7">
        <f t="shared" si="17"/>
        <v>1.1213080057887526E-3</v>
      </c>
      <c r="W78" s="3"/>
      <c r="X78" s="8">
        <f t="shared" si="18"/>
        <v>-8000</v>
      </c>
      <c r="Y78" s="3"/>
      <c r="Z78" s="7">
        <f t="shared" si="19"/>
        <v>-1</v>
      </c>
    </row>
    <row r="79" spans="1:26" s="70" customFormat="1" ht="15" hidden="1" customHeight="1" outlineLevel="2" x14ac:dyDescent="0.3">
      <c r="A79" s="26"/>
      <c r="B79" s="12" t="str">
        <f>CONCATENATE("          ","6373"," - ","MAINTENANCE CONTRACTS")</f>
        <v xml:space="preserve">          6373 - MAINTENANCE CONTRACTS</v>
      </c>
      <c r="C79" s="12"/>
      <c r="D79" s="8">
        <v>913.68</v>
      </c>
      <c r="E79" s="3"/>
      <c r="F79" s="7">
        <f t="shared" si="12"/>
        <v>5.6854979516887238E-4</v>
      </c>
      <c r="G79" s="3"/>
      <c r="H79" s="8">
        <v>1800</v>
      </c>
      <c r="I79" s="3"/>
      <c r="J79" s="7">
        <f t="shared" si="13"/>
        <v>1.1813132002562138E-3</v>
      </c>
      <c r="K79" s="3"/>
      <c r="L79" s="8">
        <f t="shared" si="14"/>
        <v>-886.32</v>
      </c>
      <c r="M79" s="3"/>
      <c r="N79" s="7">
        <f t="shared" si="15"/>
        <v>-0.4924</v>
      </c>
      <c r="O79" s="12"/>
      <c r="P79" s="8">
        <v>15265.56</v>
      </c>
      <c r="Q79" s="3"/>
      <c r="R79" s="7">
        <f t="shared" si="16"/>
        <v>1.767716034193352E-3</v>
      </c>
      <c r="S79" s="3"/>
      <c r="T79" s="8">
        <v>17015</v>
      </c>
      <c r="U79" s="3"/>
      <c r="V79" s="7">
        <f t="shared" si="17"/>
        <v>2.3848819648119531E-3</v>
      </c>
      <c r="W79" s="3"/>
      <c r="X79" s="8">
        <f t="shared" si="18"/>
        <v>-1749.4400000000005</v>
      </c>
      <c r="Y79" s="3"/>
      <c r="Z79" s="7">
        <f t="shared" si="19"/>
        <v>-0.10281751395827214</v>
      </c>
    </row>
    <row r="80" spans="1:26" s="70" customFormat="1" ht="15" hidden="1" customHeight="1" outlineLevel="2" x14ac:dyDescent="0.3">
      <c r="A80" s="26"/>
      <c r="B80" s="12" t="str">
        <f>CONCATENATE("          ","6375"," - ","OUTSIDE REPAIRS &amp; MAINTENANCE")</f>
        <v xml:space="preserve">          6375 - OUTSIDE REPAIRS &amp; MAINTENANCE</v>
      </c>
      <c r="C80" s="12"/>
      <c r="D80" s="8">
        <v>4052.3</v>
      </c>
      <c r="E80" s="3"/>
      <c r="F80" s="7">
        <f t="shared" si="12"/>
        <v>2.521598738029531E-3</v>
      </c>
      <c r="G80" s="3"/>
      <c r="H80" s="8">
        <v>4079</v>
      </c>
      <c r="I80" s="3"/>
      <c r="J80" s="7">
        <f t="shared" si="13"/>
        <v>2.676986968802831E-3</v>
      </c>
      <c r="K80" s="3"/>
      <c r="L80" s="8">
        <f t="shared" si="14"/>
        <v>-26.699999999999818</v>
      </c>
      <c r="M80" s="3"/>
      <c r="N80" s="7">
        <f t="shared" si="15"/>
        <v>-6.5457219906839463E-3</v>
      </c>
      <c r="O80" s="12"/>
      <c r="P80" s="8">
        <v>45739.23</v>
      </c>
      <c r="Q80" s="3"/>
      <c r="R80" s="7">
        <f t="shared" si="16"/>
        <v>5.2964955273607783E-3</v>
      </c>
      <c r="S80" s="3"/>
      <c r="T80" s="8">
        <v>31644</v>
      </c>
      <c r="U80" s="3"/>
      <c r="V80" s="7">
        <f t="shared" si="17"/>
        <v>4.4353338168974105E-3</v>
      </c>
      <c r="W80" s="3"/>
      <c r="X80" s="8">
        <f t="shared" si="18"/>
        <v>14095.230000000003</v>
      </c>
      <c r="Y80" s="3"/>
      <c r="Z80" s="7">
        <f t="shared" si="19"/>
        <v>0.4454313613955253</v>
      </c>
    </row>
    <row r="81" spans="1:26" s="69" customFormat="1" ht="15" customHeight="1" outlineLevel="1" collapsed="1" x14ac:dyDescent="0.3">
      <c r="A81" s="25"/>
      <c r="B81" s="14" t="str">
        <f>CONCATENATE("     ","Royalty &amp; Commissions                             ")</f>
        <v xml:space="preserve">     Royalty &amp; Commissions                             </v>
      </c>
      <c r="C81" s="14"/>
      <c r="D81" s="2">
        <f>SUM(OSRRefD22_15x_0)</f>
        <v>1789.12</v>
      </c>
      <c r="E81" s="2"/>
      <c r="F81" s="6">
        <f t="shared" si="12"/>
        <v>1.1133042307290659E-3</v>
      </c>
      <c r="G81" s="2"/>
      <c r="H81" s="2">
        <f>SUM(OSRRefH22_15x_0)</f>
        <v>0</v>
      </c>
      <c r="I81" s="2"/>
      <c r="J81" s="6">
        <f t="shared" si="13"/>
        <v>0</v>
      </c>
      <c r="K81" s="2"/>
      <c r="L81" s="2">
        <f t="shared" si="14"/>
        <v>1789.12</v>
      </c>
      <c r="M81" s="2"/>
      <c r="N81" s="6">
        <f t="shared" si="15"/>
        <v>0</v>
      </c>
      <c r="O81" s="14"/>
      <c r="P81" s="2">
        <f>SUM(OSRRefP22_15x_0)</f>
        <v>3634.03</v>
      </c>
      <c r="Q81" s="2"/>
      <c r="R81" s="6">
        <f t="shared" si="16"/>
        <v>4.2081214837448924E-4</v>
      </c>
      <c r="S81" s="2"/>
      <c r="T81" s="2">
        <f>SUM(OSRRefT22_15x_0)</f>
        <v>0</v>
      </c>
      <c r="U81" s="2"/>
      <c r="V81" s="6">
        <f t="shared" si="17"/>
        <v>0</v>
      </c>
      <c r="W81" s="2"/>
      <c r="X81" s="2">
        <f t="shared" si="18"/>
        <v>3634.03</v>
      </c>
      <c r="Y81" s="2"/>
      <c r="Z81" s="6">
        <f t="shared" si="19"/>
        <v>0</v>
      </c>
    </row>
    <row r="82" spans="1:26" s="70" customFormat="1" ht="15" hidden="1" customHeight="1" outlineLevel="2" x14ac:dyDescent="0.3">
      <c r="A82" s="26"/>
      <c r="B82" s="12" t="str">
        <f>CONCATENATE("          ","6254"," - ","ROYALTY &amp; COMMISSIONS")</f>
        <v xml:space="preserve">          6254 - ROYALTY &amp; COMMISSIONS</v>
      </c>
      <c r="C82" s="12"/>
      <c r="D82" s="8">
        <v>1789.12</v>
      </c>
      <c r="E82" s="3"/>
      <c r="F82" s="7">
        <f t="shared" si="12"/>
        <v>1.1133042307290659E-3</v>
      </c>
      <c r="G82" s="3"/>
      <c r="H82" s="8"/>
      <c r="I82" s="3"/>
      <c r="J82" s="7">
        <f t="shared" si="13"/>
        <v>0</v>
      </c>
      <c r="K82" s="3"/>
      <c r="L82" s="8">
        <f t="shared" si="14"/>
        <v>1789.12</v>
      </c>
      <c r="M82" s="3"/>
      <c r="N82" s="7">
        <f t="shared" si="15"/>
        <v>0</v>
      </c>
      <c r="O82" s="12"/>
      <c r="P82" s="8">
        <v>3634.03</v>
      </c>
      <c r="Q82" s="3"/>
      <c r="R82" s="7">
        <f t="shared" si="16"/>
        <v>4.2081214837448924E-4</v>
      </c>
      <c r="S82" s="3"/>
      <c r="T82" s="8"/>
      <c r="U82" s="3"/>
      <c r="V82" s="7">
        <f t="shared" si="17"/>
        <v>0</v>
      </c>
      <c r="W82" s="3"/>
      <c r="X82" s="8">
        <f t="shared" si="18"/>
        <v>3634.03</v>
      </c>
      <c r="Y82" s="3"/>
      <c r="Z82" s="7">
        <f t="shared" si="19"/>
        <v>0</v>
      </c>
    </row>
    <row r="83" spans="1:26" s="69" customFormat="1" ht="15" customHeight="1" outlineLevel="1" collapsed="1" x14ac:dyDescent="0.3">
      <c r="A83" s="25"/>
      <c r="B83" s="14" t="str">
        <f>CONCATENATE("     ","Services                                          ")</f>
        <v xml:space="preserve">     Services                                          </v>
      </c>
      <c r="C83" s="14"/>
      <c r="D83" s="2">
        <f>SUM(OSRRefD22_16x_0)</f>
        <v>28277.919999999998</v>
      </c>
      <c r="E83" s="2"/>
      <c r="F83" s="6">
        <f t="shared" si="12"/>
        <v>1.7596319963008668E-2</v>
      </c>
      <c r="G83" s="2"/>
      <c r="H83" s="2">
        <f>SUM(OSRRefH22_16x_0)</f>
        <v>32801</v>
      </c>
      <c r="I83" s="2"/>
      <c r="J83" s="6">
        <f t="shared" si="13"/>
        <v>2.1526807934224481E-2</v>
      </c>
      <c r="K83" s="2"/>
      <c r="L83" s="2">
        <f t="shared" si="14"/>
        <v>-4523.0800000000017</v>
      </c>
      <c r="M83" s="2"/>
      <c r="N83" s="6">
        <f t="shared" si="15"/>
        <v>-0.13789457638486638</v>
      </c>
      <c r="O83" s="14"/>
      <c r="P83" s="2">
        <f>SUM(OSRRefP22_16x_0)</f>
        <v>189439.72999999998</v>
      </c>
      <c r="Q83" s="2"/>
      <c r="R83" s="6">
        <f t="shared" si="16"/>
        <v>2.1936676298429887E-2</v>
      </c>
      <c r="S83" s="2"/>
      <c r="T83" s="2">
        <f>SUM(OSRRefT22_16x_0)</f>
        <v>253767</v>
      </c>
      <c r="U83" s="2"/>
      <c r="V83" s="6">
        <f t="shared" si="17"/>
        <v>3.5568871088124294E-2</v>
      </c>
      <c r="W83" s="2"/>
      <c r="X83" s="2">
        <f t="shared" si="18"/>
        <v>-64327.270000000019</v>
      </c>
      <c r="Y83" s="2"/>
      <c r="Z83" s="6">
        <f t="shared" si="19"/>
        <v>-0.25348950021082339</v>
      </c>
    </row>
    <row r="84" spans="1:26" s="70" customFormat="1" ht="15" hidden="1" customHeight="1" outlineLevel="2" x14ac:dyDescent="0.3">
      <c r="A84" s="26"/>
      <c r="B84" s="12" t="str">
        <f>CONCATENATE("          ","6282"," - ","JANITORIAL/EXTERMINATOR EXPENS")</f>
        <v xml:space="preserve">          6282 - JANITORIAL/EXTERMINATOR EXPENS</v>
      </c>
      <c r="C84" s="12"/>
      <c r="D84" s="8">
        <v>3585.55</v>
      </c>
      <c r="E84" s="3"/>
      <c r="F84" s="7">
        <f t="shared" si="12"/>
        <v>2.2311572082870925E-3</v>
      </c>
      <c r="G84" s="3"/>
      <c r="H84" s="8">
        <v>2698</v>
      </c>
      <c r="I84" s="3"/>
      <c r="J84" s="7">
        <f t="shared" si="13"/>
        <v>1.7706572301618136E-3</v>
      </c>
      <c r="K84" s="3"/>
      <c r="L84" s="8">
        <f t="shared" si="14"/>
        <v>887.55000000000018</v>
      </c>
      <c r="M84" s="3"/>
      <c r="N84" s="7">
        <f t="shared" si="15"/>
        <v>0.32896590066716092</v>
      </c>
      <c r="O84" s="12"/>
      <c r="P84" s="8">
        <v>21603.43</v>
      </c>
      <c r="Q84" s="3"/>
      <c r="R84" s="7">
        <f t="shared" si="16"/>
        <v>2.5016265112169935E-3</v>
      </c>
      <c r="S84" s="3"/>
      <c r="T84" s="8">
        <v>21484</v>
      </c>
      <c r="U84" s="3"/>
      <c r="V84" s="7">
        <f t="shared" si="17"/>
        <v>3.0112726495456952E-3</v>
      </c>
      <c r="W84" s="3"/>
      <c r="X84" s="8">
        <f t="shared" si="18"/>
        <v>119.43000000000029</v>
      </c>
      <c r="Y84" s="3"/>
      <c r="Z84" s="7">
        <f t="shared" si="19"/>
        <v>5.5590206665425568E-3</v>
      </c>
    </row>
    <row r="85" spans="1:26" s="70" customFormat="1" ht="15" hidden="1" customHeight="1" outlineLevel="2" x14ac:dyDescent="0.3">
      <c r="A85" s="26"/>
      <c r="B85" s="12" t="str">
        <f>CONCATENATE("          ","6283"," - ","PLANT SERVICE")</f>
        <v xml:space="preserve">          6283 - PLANT SERVICE</v>
      </c>
      <c r="C85" s="12"/>
      <c r="D85" s="8"/>
      <c r="E85" s="3"/>
      <c r="F85" s="7">
        <f t="shared" si="12"/>
        <v>0</v>
      </c>
      <c r="G85" s="3"/>
      <c r="H85" s="8">
        <v>100</v>
      </c>
      <c r="I85" s="3"/>
      <c r="J85" s="7">
        <f t="shared" si="13"/>
        <v>6.5628511125345203E-5</v>
      </c>
      <c r="K85" s="3"/>
      <c r="L85" s="8">
        <f t="shared" si="14"/>
        <v>-100</v>
      </c>
      <c r="M85" s="3"/>
      <c r="N85" s="7">
        <f t="shared" si="15"/>
        <v>-1</v>
      </c>
      <c r="O85" s="12"/>
      <c r="P85" s="8"/>
      <c r="Q85" s="3"/>
      <c r="R85" s="7">
        <f t="shared" si="16"/>
        <v>0</v>
      </c>
      <c r="S85" s="3"/>
      <c r="T85" s="8">
        <v>800</v>
      </c>
      <c r="U85" s="3"/>
      <c r="V85" s="7">
        <f t="shared" si="17"/>
        <v>1.1213080057887526E-4</v>
      </c>
      <c r="W85" s="3"/>
      <c r="X85" s="8">
        <f t="shared" si="18"/>
        <v>-800</v>
      </c>
      <c r="Y85" s="3"/>
      <c r="Z85" s="7">
        <f t="shared" si="19"/>
        <v>-1</v>
      </c>
    </row>
    <row r="86" spans="1:26" s="70" customFormat="1" ht="15" hidden="1" customHeight="1" outlineLevel="2" x14ac:dyDescent="0.3">
      <c r="A86" s="26"/>
      <c r="B86" s="12" t="str">
        <f>CONCATENATE("          ","6284"," - ","TRASH REMOVAL EXPENSE")</f>
        <v xml:space="preserve">          6284 - TRASH REMOVAL EXPENSE</v>
      </c>
      <c r="C86" s="12"/>
      <c r="D86" s="8"/>
      <c r="E86" s="3"/>
      <c r="F86" s="7">
        <f t="shared" si="12"/>
        <v>0</v>
      </c>
      <c r="G86" s="3"/>
      <c r="H86" s="8">
        <v>1600</v>
      </c>
      <c r="I86" s="3"/>
      <c r="J86" s="7">
        <f t="shared" si="13"/>
        <v>1.0500561780055232E-3</v>
      </c>
      <c r="K86" s="3"/>
      <c r="L86" s="8">
        <f t="shared" si="14"/>
        <v>-1600</v>
      </c>
      <c r="M86" s="3"/>
      <c r="N86" s="7">
        <f t="shared" si="15"/>
        <v>-1</v>
      </c>
      <c r="O86" s="12"/>
      <c r="P86" s="8"/>
      <c r="Q86" s="3"/>
      <c r="R86" s="7">
        <f t="shared" si="16"/>
        <v>0</v>
      </c>
      <c r="S86" s="3"/>
      <c r="T86" s="8">
        <v>12800</v>
      </c>
      <c r="U86" s="3"/>
      <c r="V86" s="7">
        <f t="shared" si="17"/>
        <v>1.7940928092620041E-3</v>
      </c>
      <c r="W86" s="3"/>
      <c r="X86" s="8">
        <f t="shared" si="18"/>
        <v>-12800</v>
      </c>
      <c r="Y86" s="3"/>
      <c r="Z86" s="7">
        <f t="shared" si="19"/>
        <v>-1</v>
      </c>
    </row>
    <row r="87" spans="1:26" s="70" customFormat="1" ht="15" hidden="1" customHeight="1" outlineLevel="2" x14ac:dyDescent="0.3">
      <c r="A87" s="26"/>
      <c r="B87" s="12" t="str">
        <f>CONCATENATE("          ","6285"," - ","JANITORIAL SERVICES")</f>
        <v xml:space="preserve">          6285 - JANITORIAL SERVICES</v>
      </c>
      <c r="C87" s="12"/>
      <c r="D87" s="8">
        <v>21499.18</v>
      </c>
      <c r="E87" s="3"/>
      <c r="F87" s="7">
        <f t="shared" si="12"/>
        <v>1.3378156887858681E-2</v>
      </c>
      <c r="G87" s="3"/>
      <c r="H87" s="8">
        <v>23083</v>
      </c>
      <c r="I87" s="3"/>
      <c r="J87" s="7">
        <f t="shared" si="13"/>
        <v>1.5149029223063434E-2</v>
      </c>
      <c r="K87" s="3"/>
      <c r="L87" s="8">
        <f t="shared" si="14"/>
        <v>-1583.8199999999997</v>
      </c>
      <c r="M87" s="3"/>
      <c r="N87" s="7">
        <f t="shared" si="15"/>
        <v>-6.8614131612008827E-2</v>
      </c>
      <c r="O87" s="12"/>
      <c r="P87" s="8">
        <v>144610.37</v>
      </c>
      <c r="Q87" s="3"/>
      <c r="R87" s="7">
        <f t="shared" si="16"/>
        <v>1.6745541582466238E-2</v>
      </c>
      <c r="S87" s="3"/>
      <c r="T87" s="8">
        <v>177212</v>
      </c>
      <c r="U87" s="3"/>
      <c r="V87" s="7">
        <f t="shared" si="17"/>
        <v>2.4838654290229554E-2</v>
      </c>
      <c r="W87" s="3"/>
      <c r="X87" s="8">
        <f t="shared" si="18"/>
        <v>-32601.630000000005</v>
      </c>
      <c r="Y87" s="3"/>
      <c r="Z87" s="7">
        <f t="shared" si="19"/>
        <v>-0.18396965216802477</v>
      </c>
    </row>
    <row r="88" spans="1:26" s="70" customFormat="1" ht="15" hidden="1" customHeight="1" outlineLevel="2" x14ac:dyDescent="0.3">
      <c r="A88" s="26"/>
      <c r="B88" s="12" t="str">
        <f>CONCATENATE("          ","6286"," - ","LAUNDRY EXPENSE")</f>
        <v xml:space="preserve">          6286 - LAUNDRY EXPENSE</v>
      </c>
      <c r="C88" s="12"/>
      <c r="D88" s="8">
        <v>3193.19</v>
      </c>
      <c r="E88" s="3"/>
      <c r="F88" s="7">
        <f t="shared" si="12"/>
        <v>1.987005866862897E-3</v>
      </c>
      <c r="G88" s="3"/>
      <c r="H88" s="8">
        <v>5320</v>
      </c>
      <c r="I88" s="3"/>
      <c r="J88" s="7">
        <f t="shared" si="13"/>
        <v>3.4914367918683648E-3</v>
      </c>
      <c r="K88" s="3"/>
      <c r="L88" s="8">
        <f t="shared" si="14"/>
        <v>-2126.81</v>
      </c>
      <c r="M88" s="3"/>
      <c r="N88" s="7">
        <f t="shared" si="15"/>
        <v>-0.39977631578947365</v>
      </c>
      <c r="O88" s="12"/>
      <c r="P88" s="8">
        <v>23225.93</v>
      </c>
      <c r="Q88" s="3"/>
      <c r="R88" s="7">
        <f t="shared" si="16"/>
        <v>2.6895082047466586E-3</v>
      </c>
      <c r="S88" s="3"/>
      <c r="T88" s="8">
        <v>41471</v>
      </c>
      <c r="U88" s="3"/>
      <c r="V88" s="7">
        <f t="shared" si="17"/>
        <v>5.8127205385081699E-3</v>
      </c>
      <c r="W88" s="3"/>
      <c r="X88" s="8">
        <f t="shared" si="18"/>
        <v>-18245.07</v>
      </c>
      <c r="Y88" s="3"/>
      <c r="Z88" s="7">
        <f t="shared" si="19"/>
        <v>-0.43994767427841142</v>
      </c>
    </row>
    <row r="89" spans="1:26" s="69" customFormat="1" ht="15" customHeight="1" outlineLevel="1" collapsed="1" x14ac:dyDescent="0.3">
      <c r="A89" s="25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2">
        <f>SUM(OSRRefD22_17x_0)</f>
        <v>622.25</v>
      </c>
      <c r="E89" s="2"/>
      <c r="F89" s="6">
        <f t="shared" si="12"/>
        <v>3.8720351769091024E-4</v>
      </c>
      <c r="G89" s="2"/>
      <c r="H89" s="2">
        <f>SUM(OSRRefH22_17x_0)</f>
        <v>610</v>
      </c>
      <c r="I89" s="2"/>
      <c r="J89" s="6">
        <f t="shared" si="13"/>
        <v>4.0033391786460578E-4</v>
      </c>
      <c r="K89" s="2"/>
      <c r="L89" s="2">
        <f t="shared" si="14"/>
        <v>12.25</v>
      </c>
      <c r="M89" s="2"/>
      <c r="N89" s="6">
        <f t="shared" si="15"/>
        <v>2.0081967213114754E-2</v>
      </c>
      <c r="O89" s="14"/>
      <c r="P89" s="2">
        <f>SUM(OSRRefP22_17x_0)</f>
        <v>5155.3599999999997</v>
      </c>
      <c r="Q89" s="2"/>
      <c r="R89" s="6">
        <f t="shared" si="16"/>
        <v>5.9697859325429526E-4</v>
      </c>
      <c r="S89" s="2"/>
      <c r="T89" s="2">
        <f>SUM(OSRRefT22_17x_0)</f>
        <v>5445</v>
      </c>
      <c r="U89" s="2"/>
      <c r="V89" s="6">
        <f t="shared" si="17"/>
        <v>7.6319026143996968E-4</v>
      </c>
      <c r="W89" s="2"/>
      <c r="X89" s="2">
        <f t="shared" si="18"/>
        <v>-289.64000000000033</v>
      </c>
      <c r="Y89" s="2"/>
      <c r="Z89" s="6">
        <f t="shared" si="19"/>
        <v>-5.3193755739210348E-2</v>
      </c>
    </row>
    <row r="90" spans="1:26" s="70" customFormat="1" ht="15" hidden="1" customHeight="1" outlineLevel="2" x14ac:dyDescent="0.3">
      <c r="A90" s="26"/>
      <c r="B90" s="12" t="str">
        <f>CONCATENATE("          ","6258"," - ","MEMBERSHIP DUES")</f>
        <v xml:space="preserve">          6258 - MEMBERSHIP DUES</v>
      </c>
      <c r="C90" s="12"/>
      <c r="D90" s="8"/>
      <c r="E90" s="3"/>
      <c r="F90" s="7">
        <f t="shared" si="12"/>
        <v>0</v>
      </c>
      <c r="G90" s="3"/>
      <c r="H90" s="8"/>
      <c r="I90" s="3"/>
      <c r="J90" s="7">
        <f t="shared" si="13"/>
        <v>0</v>
      </c>
      <c r="K90" s="3"/>
      <c r="L90" s="8">
        <f t="shared" si="14"/>
        <v>0</v>
      </c>
      <c r="M90" s="3"/>
      <c r="N90" s="7">
        <f t="shared" si="15"/>
        <v>0</v>
      </c>
      <c r="O90" s="12"/>
      <c r="P90" s="8"/>
      <c r="Q90" s="3"/>
      <c r="R90" s="7">
        <f t="shared" si="16"/>
        <v>0</v>
      </c>
      <c r="S90" s="3"/>
      <c r="T90" s="8">
        <v>795</v>
      </c>
      <c r="U90" s="3"/>
      <c r="V90" s="7">
        <f t="shared" si="17"/>
        <v>1.1142998307525729E-4</v>
      </c>
      <c r="W90" s="3"/>
      <c r="X90" s="8">
        <f t="shared" si="18"/>
        <v>-795</v>
      </c>
      <c r="Y90" s="3"/>
      <c r="Z90" s="7">
        <f t="shared" si="19"/>
        <v>-1</v>
      </c>
    </row>
    <row r="91" spans="1:26" s="70" customFormat="1" ht="15" hidden="1" customHeight="1" outlineLevel="2" x14ac:dyDescent="0.3">
      <c r="A91" s="26"/>
      <c r="B91" s="12" t="str">
        <f>CONCATENATE("          ","6275"," - ","SUBSCRIPTIONS")</f>
        <v xml:space="preserve">          6275 - SUBSCRIPTIONS</v>
      </c>
      <c r="C91" s="12"/>
      <c r="D91" s="8">
        <v>622.25</v>
      </c>
      <c r="E91" s="3"/>
      <c r="F91" s="7">
        <f t="shared" ref="F91:F112" si="20">IF(D$12=0,0,D91/D$12)</f>
        <v>3.8720351769091024E-4</v>
      </c>
      <c r="G91" s="3"/>
      <c r="H91" s="8">
        <v>610</v>
      </c>
      <c r="I91" s="3"/>
      <c r="J91" s="7">
        <f t="shared" ref="J91:J112" si="21">IF(H$12=0,0,H91/H$12)</f>
        <v>4.0033391786460578E-4</v>
      </c>
      <c r="K91" s="3"/>
      <c r="L91" s="8">
        <f t="shared" ref="L91:L112" si="22">+D91-H91</f>
        <v>12.25</v>
      </c>
      <c r="M91" s="3"/>
      <c r="N91" s="7">
        <f t="shared" ref="N91:N112" si="23">IF(H91=0,0,L91/H91)</f>
        <v>2.0081967213114754E-2</v>
      </c>
      <c r="O91" s="12"/>
      <c r="P91" s="8">
        <v>5155.3599999999997</v>
      </c>
      <c r="Q91" s="3"/>
      <c r="R91" s="7">
        <f t="shared" ref="R91:R112" si="24">IF(P$12=0,0,P91/P$12)</f>
        <v>5.9697859325429526E-4</v>
      </c>
      <c r="S91" s="3"/>
      <c r="T91" s="8">
        <v>4650</v>
      </c>
      <c r="U91" s="3"/>
      <c r="V91" s="7">
        <f t="shared" ref="V91:V112" si="25">IF(T$12=0,0,T91/T$12)</f>
        <v>6.5176027836471239E-4</v>
      </c>
      <c r="W91" s="3"/>
      <c r="X91" s="8">
        <f t="shared" ref="X91:X112" si="26">+P91-T91</f>
        <v>505.35999999999967</v>
      </c>
      <c r="Y91" s="3"/>
      <c r="Z91" s="7">
        <f t="shared" ref="Z91:Z112" si="27">IF(T91=0,0,X91/T91)</f>
        <v>0.10867956989247304</v>
      </c>
    </row>
    <row r="92" spans="1:26" s="69" customFormat="1" ht="15" customHeight="1" outlineLevel="1" collapsed="1" x14ac:dyDescent="0.3">
      <c r="A92" s="25"/>
      <c r="B92" s="14" t="str">
        <f>CONCATENATE("     ","Supplies                                          ")</f>
        <v xml:space="preserve">     Supplies                                          </v>
      </c>
      <c r="C92" s="14"/>
      <c r="D92" s="2">
        <f>SUM(OSRRefD22_18x_0)</f>
        <v>32111.83</v>
      </c>
      <c r="E92" s="2"/>
      <c r="F92" s="6">
        <f t="shared" si="20"/>
        <v>1.9982022556034557E-2</v>
      </c>
      <c r="G92" s="2"/>
      <c r="H92" s="2">
        <f>SUM(OSRRefH22_18x_0)</f>
        <v>31175</v>
      </c>
      <c r="I92" s="2"/>
      <c r="J92" s="6">
        <f t="shared" si="21"/>
        <v>2.0459688343326368E-2</v>
      </c>
      <c r="K92" s="2"/>
      <c r="L92" s="2">
        <f t="shared" si="22"/>
        <v>936.83000000000175</v>
      </c>
      <c r="M92" s="2"/>
      <c r="N92" s="6">
        <f t="shared" si="23"/>
        <v>3.005068163592628E-2</v>
      </c>
      <c r="O92" s="14"/>
      <c r="P92" s="2">
        <f>SUM(OSRRefP22_18x_0)</f>
        <v>271348.65999999997</v>
      </c>
      <c r="Q92" s="2"/>
      <c r="R92" s="6">
        <f t="shared" si="24"/>
        <v>3.1421538229772131E-2</v>
      </c>
      <c r="S92" s="2"/>
      <c r="T92" s="2">
        <f>SUM(OSRRefT22_18x_0)</f>
        <v>270298</v>
      </c>
      <c r="U92" s="2"/>
      <c r="V92" s="6">
        <f t="shared" si="25"/>
        <v>3.7885913918586034E-2</v>
      </c>
      <c r="W92" s="2"/>
      <c r="X92" s="2">
        <f t="shared" si="26"/>
        <v>1050.6599999999744</v>
      </c>
      <c r="Y92" s="2"/>
      <c r="Z92" s="6">
        <f t="shared" si="27"/>
        <v>3.8870431893686759E-3</v>
      </c>
    </row>
    <row r="93" spans="1:26" s="70" customFormat="1" ht="15" hidden="1" customHeight="1" outlineLevel="2" x14ac:dyDescent="0.3">
      <c r="A93" s="26"/>
      <c r="B93" s="12" t="str">
        <f>CONCATENATE("          ","6234"," - ","EXPENDABLE SUPPLIES &amp; EQUIPMEN")</f>
        <v xml:space="preserve">          6234 - EXPENDABLE SUPPLIES &amp; EQUIPMEN</v>
      </c>
      <c r="C93" s="12"/>
      <c r="D93" s="8"/>
      <c r="E93" s="3"/>
      <c r="F93" s="7">
        <f t="shared" si="20"/>
        <v>0</v>
      </c>
      <c r="G93" s="3"/>
      <c r="H93" s="8">
        <v>342</v>
      </c>
      <c r="I93" s="3"/>
      <c r="J93" s="7">
        <f t="shared" si="21"/>
        <v>2.2444950804868059E-4</v>
      </c>
      <c r="K93" s="3"/>
      <c r="L93" s="8">
        <f t="shared" si="22"/>
        <v>-342</v>
      </c>
      <c r="M93" s="3"/>
      <c r="N93" s="7">
        <f t="shared" si="23"/>
        <v>-1</v>
      </c>
      <c r="O93" s="12"/>
      <c r="P93" s="8">
        <v>394.75</v>
      </c>
      <c r="Q93" s="3"/>
      <c r="R93" s="7">
        <f t="shared" si="24"/>
        <v>4.5711123895738236E-5</v>
      </c>
      <c r="S93" s="3"/>
      <c r="T93" s="8">
        <v>2736</v>
      </c>
      <c r="U93" s="3"/>
      <c r="V93" s="7">
        <f t="shared" si="25"/>
        <v>3.8348733797975341E-4</v>
      </c>
      <c r="W93" s="3"/>
      <c r="X93" s="8">
        <f t="shared" si="26"/>
        <v>-2341.25</v>
      </c>
      <c r="Y93" s="3"/>
      <c r="Z93" s="7">
        <f t="shared" si="27"/>
        <v>-0.85572002923976609</v>
      </c>
    </row>
    <row r="94" spans="1:26" s="70" customFormat="1" ht="15" hidden="1" customHeight="1" outlineLevel="2" x14ac:dyDescent="0.3">
      <c r="A94" s="26"/>
      <c r="B94" s="12" t="str">
        <f>CONCATENATE("          ","6235"," - ","COVID-19 EXPENSES")</f>
        <v xml:space="preserve">          6235 - COVID-19 EXPENSES</v>
      </c>
      <c r="C94" s="12"/>
      <c r="D94" s="8">
        <v>158.76</v>
      </c>
      <c r="E94" s="3"/>
      <c r="F94" s="7">
        <f t="shared" si="20"/>
        <v>9.8790567245655132E-5</v>
      </c>
      <c r="G94" s="3"/>
      <c r="H94" s="8">
        <v>250</v>
      </c>
      <c r="I94" s="3"/>
      <c r="J94" s="7">
        <f t="shared" si="21"/>
        <v>1.6407127781336301E-4</v>
      </c>
      <c r="K94" s="3"/>
      <c r="L94" s="8">
        <f t="shared" si="22"/>
        <v>-91.240000000000009</v>
      </c>
      <c r="M94" s="3"/>
      <c r="N94" s="7">
        <f t="shared" si="23"/>
        <v>-0.36496000000000006</v>
      </c>
      <c r="O94" s="12"/>
      <c r="P94" s="8">
        <v>670.68</v>
      </c>
      <c r="Q94" s="3"/>
      <c r="R94" s="7">
        <f t="shared" si="24"/>
        <v>7.766317054944576E-5</v>
      </c>
      <c r="S94" s="3"/>
      <c r="T94" s="8">
        <v>2250</v>
      </c>
      <c r="U94" s="3"/>
      <c r="V94" s="7">
        <f t="shared" si="25"/>
        <v>3.1536787662808668E-4</v>
      </c>
      <c r="W94" s="3"/>
      <c r="X94" s="8">
        <f t="shared" si="26"/>
        <v>-1579.3200000000002</v>
      </c>
      <c r="Y94" s="3"/>
      <c r="Z94" s="7">
        <f t="shared" si="27"/>
        <v>-0.7019200000000001</v>
      </c>
    </row>
    <row r="95" spans="1:26" s="70" customFormat="1" ht="15" hidden="1" customHeight="1" outlineLevel="2" x14ac:dyDescent="0.3">
      <c r="A95" s="26"/>
      <c r="B95" s="12" t="str">
        <f>CONCATENATE("          ","6237"," - ","JANITORIAL SUPPLIES")</f>
        <v xml:space="preserve">          6237 - JANITORIAL SUPPLIES</v>
      </c>
      <c r="C95" s="12"/>
      <c r="D95" s="8">
        <v>9666.34</v>
      </c>
      <c r="E95" s="3"/>
      <c r="F95" s="7">
        <f t="shared" si="20"/>
        <v>6.0150114121275263E-3</v>
      </c>
      <c r="G95" s="3"/>
      <c r="H95" s="8">
        <v>9975</v>
      </c>
      <c r="I95" s="3"/>
      <c r="J95" s="7">
        <f t="shared" si="21"/>
        <v>6.5464439847531843E-3</v>
      </c>
      <c r="K95" s="3"/>
      <c r="L95" s="8">
        <f t="shared" si="22"/>
        <v>-308.65999999999985</v>
      </c>
      <c r="M95" s="3"/>
      <c r="N95" s="7">
        <f t="shared" si="23"/>
        <v>-3.094335839598996E-2</v>
      </c>
      <c r="O95" s="12"/>
      <c r="P95" s="8">
        <v>49550.09</v>
      </c>
      <c r="Q95" s="3"/>
      <c r="R95" s="7">
        <f t="shared" si="24"/>
        <v>5.7377841748827863E-3</v>
      </c>
      <c r="S95" s="3"/>
      <c r="T95" s="8">
        <v>84278</v>
      </c>
      <c r="U95" s="3"/>
      <c r="V95" s="7">
        <f t="shared" si="25"/>
        <v>1.181269951398306E-2</v>
      </c>
      <c r="W95" s="3"/>
      <c r="X95" s="8">
        <f t="shared" si="26"/>
        <v>-34727.910000000003</v>
      </c>
      <c r="Y95" s="3"/>
      <c r="Z95" s="7">
        <f t="shared" si="27"/>
        <v>-0.41206376515816706</v>
      </c>
    </row>
    <row r="96" spans="1:26" s="70" customFormat="1" ht="15" hidden="1" customHeight="1" outlineLevel="2" x14ac:dyDescent="0.3">
      <c r="A96" s="26"/>
      <c r="B96" s="12" t="str">
        <f>CONCATENATE("          ","6239"," - ","KITCHEN SUPPLIES")</f>
        <v xml:space="preserve">          6239 - KITCHEN SUPPLIES</v>
      </c>
      <c r="C96" s="12"/>
      <c r="D96" s="8">
        <v>3639.07</v>
      </c>
      <c r="E96" s="3"/>
      <c r="F96" s="7">
        <f t="shared" si="20"/>
        <v>2.2644607555218333E-3</v>
      </c>
      <c r="G96" s="3"/>
      <c r="H96" s="8">
        <v>3550</v>
      </c>
      <c r="I96" s="3"/>
      <c r="J96" s="7">
        <f t="shared" si="21"/>
        <v>2.329812144949755E-3</v>
      </c>
      <c r="K96" s="3"/>
      <c r="L96" s="8">
        <f t="shared" si="22"/>
        <v>89.070000000000164</v>
      </c>
      <c r="M96" s="3"/>
      <c r="N96" s="7">
        <f t="shared" si="23"/>
        <v>2.5090140845070469E-2</v>
      </c>
      <c r="O96" s="12"/>
      <c r="P96" s="8">
        <v>32599.3</v>
      </c>
      <c r="Q96" s="3"/>
      <c r="R96" s="7">
        <f t="shared" si="24"/>
        <v>3.7749224603276488E-3</v>
      </c>
      <c r="S96" s="3"/>
      <c r="T96" s="8">
        <v>40849</v>
      </c>
      <c r="U96" s="3"/>
      <c r="V96" s="7">
        <f t="shared" si="25"/>
        <v>5.7255388410580943E-3</v>
      </c>
      <c r="W96" s="3"/>
      <c r="X96" s="8">
        <f t="shared" si="26"/>
        <v>-8249.7000000000007</v>
      </c>
      <c r="Y96" s="3"/>
      <c r="Z96" s="7">
        <f t="shared" si="27"/>
        <v>-0.20195598423462022</v>
      </c>
    </row>
    <row r="97" spans="1:26" s="70" customFormat="1" ht="15" hidden="1" customHeight="1" outlineLevel="2" x14ac:dyDescent="0.3">
      <c r="A97" s="26"/>
      <c r="B97" s="12" t="str">
        <f>CONCATENATE("          ","6241"," - ","OFFICE EXPENSE")</f>
        <v xml:space="preserve">          6241 - OFFICE EXPENSE</v>
      </c>
      <c r="C97" s="12"/>
      <c r="D97" s="8">
        <v>2281.86</v>
      </c>
      <c r="E97" s="3"/>
      <c r="F97" s="7">
        <f t="shared" si="20"/>
        <v>1.4199183911260435E-3</v>
      </c>
      <c r="G97" s="3"/>
      <c r="H97" s="8">
        <v>1445</v>
      </c>
      <c r="I97" s="3"/>
      <c r="J97" s="7">
        <f t="shared" si="21"/>
        <v>9.4833198576123822E-4</v>
      </c>
      <c r="K97" s="3"/>
      <c r="L97" s="8">
        <f t="shared" si="22"/>
        <v>836.86000000000013</v>
      </c>
      <c r="M97" s="3"/>
      <c r="N97" s="7">
        <f t="shared" si="23"/>
        <v>0.5791418685121108</v>
      </c>
      <c r="O97" s="12"/>
      <c r="P97" s="8">
        <v>23348.52</v>
      </c>
      <c r="Q97" s="3"/>
      <c r="R97" s="7">
        <f t="shared" si="24"/>
        <v>2.7037038391440711E-3</v>
      </c>
      <c r="S97" s="3"/>
      <c r="T97" s="8">
        <v>14687</v>
      </c>
      <c r="U97" s="3"/>
      <c r="V97" s="7">
        <f t="shared" si="25"/>
        <v>2.0585813351274261E-3</v>
      </c>
      <c r="W97" s="3"/>
      <c r="X97" s="8">
        <f t="shared" si="26"/>
        <v>8661.52</v>
      </c>
      <c r="Y97" s="3"/>
      <c r="Z97" s="7">
        <f t="shared" si="27"/>
        <v>0.5897405869135971</v>
      </c>
    </row>
    <row r="98" spans="1:26" s="70" customFormat="1" ht="15" hidden="1" customHeight="1" outlineLevel="2" x14ac:dyDescent="0.3">
      <c r="A98" s="26"/>
      <c r="B98" s="12" t="str">
        <f>CONCATENATE("          ","6243"," - ","PAPER SUPPLIES")</f>
        <v xml:space="preserve">          6243 - PAPER SUPPLIES</v>
      </c>
      <c r="C98" s="12"/>
      <c r="D98" s="8">
        <v>14118.76</v>
      </c>
      <c r="E98" s="3"/>
      <c r="F98" s="7">
        <f t="shared" si="20"/>
        <v>8.7855902570248556E-3</v>
      </c>
      <c r="G98" s="3"/>
      <c r="H98" s="8">
        <v>13900</v>
      </c>
      <c r="I98" s="3"/>
      <c r="J98" s="7">
        <f t="shared" si="21"/>
        <v>9.1223630464229832E-3</v>
      </c>
      <c r="K98" s="3"/>
      <c r="L98" s="8">
        <f t="shared" si="22"/>
        <v>218.76000000000022</v>
      </c>
      <c r="M98" s="3"/>
      <c r="N98" s="7">
        <f t="shared" si="23"/>
        <v>1.5738129496402894E-2</v>
      </c>
      <c r="O98" s="12"/>
      <c r="P98" s="8">
        <v>153313.48000000001</v>
      </c>
      <c r="Q98" s="3"/>
      <c r="R98" s="7">
        <f t="shared" si="24"/>
        <v>1.7753341302512441E-2</v>
      </c>
      <c r="S98" s="3"/>
      <c r="T98" s="8">
        <v>110633</v>
      </c>
      <c r="U98" s="3"/>
      <c r="V98" s="7">
        <f t="shared" si="25"/>
        <v>1.5506708575553384E-2</v>
      </c>
      <c r="W98" s="3"/>
      <c r="X98" s="8">
        <f t="shared" si="26"/>
        <v>42680.48000000001</v>
      </c>
      <c r="Y98" s="3"/>
      <c r="Z98" s="7">
        <f t="shared" si="27"/>
        <v>0.38578435005830097</v>
      </c>
    </row>
    <row r="99" spans="1:26" s="70" customFormat="1" ht="15" hidden="1" customHeight="1" outlineLevel="2" x14ac:dyDescent="0.3">
      <c r="A99" s="26"/>
      <c r="B99" s="12" t="str">
        <f>CONCATENATE("          ","6244"," - ","SAFETY SUPPLY EXPENSE")</f>
        <v xml:space="preserve">          6244 - SAFETY SUPPLY EXPENSE</v>
      </c>
      <c r="C99" s="12"/>
      <c r="D99" s="8"/>
      <c r="E99" s="3"/>
      <c r="F99" s="7">
        <f t="shared" si="20"/>
        <v>0</v>
      </c>
      <c r="G99" s="3"/>
      <c r="H99" s="8">
        <v>525</v>
      </c>
      <c r="I99" s="3"/>
      <c r="J99" s="7">
        <f t="shared" si="21"/>
        <v>3.4454968340806233E-4</v>
      </c>
      <c r="K99" s="3"/>
      <c r="L99" s="8">
        <f t="shared" si="22"/>
        <v>-525</v>
      </c>
      <c r="M99" s="3"/>
      <c r="N99" s="7">
        <f t="shared" si="23"/>
        <v>-1</v>
      </c>
      <c r="O99" s="12"/>
      <c r="P99" s="8"/>
      <c r="Q99" s="3"/>
      <c r="R99" s="7">
        <f t="shared" si="24"/>
        <v>0</v>
      </c>
      <c r="S99" s="3"/>
      <c r="T99" s="8">
        <v>4300</v>
      </c>
      <c r="U99" s="3"/>
      <c r="V99" s="7">
        <f t="shared" si="25"/>
        <v>6.0270305311145448E-4</v>
      </c>
      <c r="W99" s="3"/>
      <c r="X99" s="8">
        <f t="shared" si="26"/>
        <v>-4300</v>
      </c>
      <c r="Y99" s="3"/>
      <c r="Z99" s="7">
        <f t="shared" si="27"/>
        <v>-1</v>
      </c>
    </row>
    <row r="100" spans="1:26" s="70" customFormat="1" ht="15" hidden="1" customHeight="1" outlineLevel="2" x14ac:dyDescent="0.3">
      <c r="A100" s="26"/>
      <c r="B100" s="12" t="str">
        <f>CONCATENATE("          ","6245"," - ","PRINTING")</f>
        <v xml:space="preserve">          6245 - PRINTING</v>
      </c>
      <c r="C100" s="12"/>
      <c r="D100" s="8"/>
      <c r="E100" s="3"/>
      <c r="F100" s="7">
        <f t="shared" si="20"/>
        <v>0</v>
      </c>
      <c r="G100" s="3"/>
      <c r="H100" s="8">
        <v>100</v>
      </c>
      <c r="I100" s="3"/>
      <c r="J100" s="7">
        <f t="shared" si="21"/>
        <v>6.5628511125345203E-5</v>
      </c>
      <c r="K100" s="3"/>
      <c r="L100" s="8">
        <f t="shared" si="22"/>
        <v>-100</v>
      </c>
      <c r="M100" s="3"/>
      <c r="N100" s="7">
        <f t="shared" si="23"/>
        <v>-1</v>
      </c>
      <c r="O100" s="12"/>
      <c r="P100" s="8">
        <v>1071</v>
      </c>
      <c r="Q100" s="3"/>
      <c r="R100" s="7">
        <f t="shared" si="24"/>
        <v>1.2401928737767106E-4</v>
      </c>
      <c r="S100" s="3"/>
      <c r="T100" s="8">
        <v>1600</v>
      </c>
      <c r="U100" s="3"/>
      <c r="V100" s="7">
        <f t="shared" si="25"/>
        <v>2.2426160115775052E-4</v>
      </c>
      <c r="W100" s="3"/>
      <c r="X100" s="8">
        <f t="shared" si="26"/>
        <v>-529</v>
      </c>
      <c r="Y100" s="3"/>
      <c r="Z100" s="7">
        <f t="shared" si="27"/>
        <v>-0.330625</v>
      </c>
    </row>
    <row r="101" spans="1:26" s="70" customFormat="1" ht="15" hidden="1" customHeight="1" outlineLevel="2" x14ac:dyDescent="0.3">
      <c r="A101" s="26"/>
      <c r="B101" s="12" t="str">
        <f>CONCATENATE("          ","6247"," - ","STORE SUPPLIES")</f>
        <v xml:space="preserve">          6247 - STORE SUPPLIES</v>
      </c>
      <c r="C101" s="12"/>
      <c r="D101" s="8">
        <v>724.79</v>
      </c>
      <c r="E101" s="3"/>
      <c r="F101" s="7">
        <f t="shared" si="20"/>
        <v>4.5101042601397318E-4</v>
      </c>
      <c r="G101" s="3"/>
      <c r="H101" s="8"/>
      <c r="I101" s="3"/>
      <c r="J101" s="7">
        <f t="shared" si="21"/>
        <v>0</v>
      </c>
      <c r="K101" s="3"/>
      <c r="L101" s="8">
        <f t="shared" si="22"/>
        <v>724.79</v>
      </c>
      <c r="M101" s="3"/>
      <c r="N101" s="7">
        <f t="shared" si="23"/>
        <v>0</v>
      </c>
      <c r="O101" s="12"/>
      <c r="P101" s="8">
        <v>2665.11</v>
      </c>
      <c r="Q101" s="3"/>
      <c r="R101" s="7">
        <f t="shared" si="24"/>
        <v>3.0861348551176931E-4</v>
      </c>
      <c r="S101" s="3"/>
      <c r="T101" s="8">
        <v>411</v>
      </c>
      <c r="U101" s="3"/>
      <c r="V101" s="7">
        <f t="shared" si="25"/>
        <v>5.7607198797397163E-5</v>
      </c>
      <c r="W101" s="3"/>
      <c r="X101" s="8">
        <f t="shared" si="26"/>
        <v>2254.11</v>
      </c>
      <c r="Y101" s="3"/>
      <c r="Z101" s="7">
        <f t="shared" si="27"/>
        <v>5.484452554744526</v>
      </c>
    </row>
    <row r="102" spans="1:26" s="70" customFormat="1" ht="15" hidden="1" customHeight="1" outlineLevel="2" x14ac:dyDescent="0.3">
      <c r="A102" s="26"/>
      <c r="B102" s="12" t="str">
        <f>CONCATENATE("          ","6248"," - ","UNIFORMS")</f>
        <v xml:space="preserve">          6248 - UNIFORMS</v>
      </c>
      <c r="C102" s="12"/>
      <c r="D102" s="8">
        <v>1522.25</v>
      </c>
      <c r="E102" s="3"/>
      <c r="F102" s="7">
        <f t="shared" si="20"/>
        <v>9.4724074697466953E-4</v>
      </c>
      <c r="G102" s="3"/>
      <c r="H102" s="8">
        <v>1088</v>
      </c>
      <c r="I102" s="3"/>
      <c r="J102" s="7">
        <f t="shared" si="21"/>
        <v>7.1403820104375582E-4</v>
      </c>
      <c r="K102" s="3"/>
      <c r="L102" s="8">
        <f t="shared" si="22"/>
        <v>434.25</v>
      </c>
      <c r="M102" s="3"/>
      <c r="N102" s="7">
        <f t="shared" si="23"/>
        <v>0.3991268382352941</v>
      </c>
      <c r="O102" s="12"/>
      <c r="P102" s="8">
        <v>7735.73</v>
      </c>
      <c r="Q102" s="3"/>
      <c r="R102" s="7">
        <f t="shared" si="24"/>
        <v>8.9577938557056135E-4</v>
      </c>
      <c r="S102" s="3"/>
      <c r="T102" s="8">
        <v>8554</v>
      </c>
      <c r="U102" s="3"/>
      <c r="V102" s="7">
        <f t="shared" si="25"/>
        <v>1.1989585851896237E-3</v>
      </c>
      <c r="W102" s="3"/>
      <c r="X102" s="8">
        <f t="shared" si="26"/>
        <v>-818.27000000000044</v>
      </c>
      <c r="Y102" s="3"/>
      <c r="Z102" s="7">
        <f t="shared" si="27"/>
        <v>-9.5659340659340716E-2</v>
      </c>
    </row>
    <row r="103" spans="1:26" s="69" customFormat="1" ht="15" customHeight="1" outlineLevel="1" collapsed="1" x14ac:dyDescent="0.3">
      <c r="A103" s="25"/>
      <c r="B103" s="14" t="str">
        <f>CONCATENATE("     ","Telephone/Data Lines                              ")</f>
        <v xml:space="preserve">     Telephone/Data Lines                              </v>
      </c>
      <c r="C103" s="14"/>
      <c r="D103" s="2">
        <f>SUM(OSRRefD22_19x_0)</f>
        <v>1396.8</v>
      </c>
      <c r="E103" s="2"/>
      <c r="F103" s="6">
        <f t="shared" si="20"/>
        <v>8.6917777984839436E-4</v>
      </c>
      <c r="G103" s="2"/>
      <c r="H103" s="2">
        <f>SUM(OSRRefH22_19x_0)</f>
        <v>961</v>
      </c>
      <c r="I103" s="2"/>
      <c r="J103" s="6">
        <f t="shared" si="21"/>
        <v>6.3068999191456744E-4</v>
      </c>
      <c r="K103" s="2"/>
      <c r="L103" s="2">
        <f t="shared" si="22"/>
        <v>435.79999999999995</v>
      </c>
      <c r="M103" s="2"/>
      <c r="N103" s="6">
        <f t="shared" si="23"/>
        <v>0.45348595213319454</v>
      </c>
      <c r="O103" s="14"/>
      <c r="P103" s="2">
        <f>SUM(OSRRefP22_19x_0)</f>
        <v>10982.24</v>
      </c>
      <c r="Q103" s="2"/>
      <c r="R103" s="6">
        <f t="shared" si="24"/>
        <v>1.2717176270873522E-3</v>
      </c>
      <c r="S103" s="2"/>
      <c r="T103" s="2">
        <f>SUM(OSRRefT22_19x_0)</f>
        <v>8138</v>
      </c>
      <c r="U103" s="2"/>
      <c r="V103" s="6">
        <f t="shared" si="25"/>
        <v>1.1406505688886085E-3</v>
      </c>
      <c r="W103" s="2"/>
      <c r="X103" s="2">
        <f t="shared" si="26"/>
        <v>2844.24</v>
      </c>
      <c r="Y103" s="2"/>
      <c r="Z103" s="6">
        <f t="shared" si="27"/>
        <v>0.34950110592283112</v>
      </c>
    </row>
    <row r="104" spans="1:26" s="70" customFormat="1" ht="15" hidden="1" customHeight="1" outlineLevel="2" x14ac:dyDescent="0.3">
      <c r="A104" s="26"/>
      <c r="B104" s="12" t="str">
        <f>CONCATENATE("          ","6303"," - ","DATA PHONE LINES")</f>
        <v xml:space="preserve">          6303 - DATA PHONE LINES</v>
      </c>
      <c r="C104" s="12"/>
      <c r="D104" s="8"/>
      <c r="E104" s="3"/>
      <c r="F104" s="7">
        <f t="shared" si="20"/>
        <v>0</v>
      </c>
      <c r="G104" s="3"/>
      <c r="H104" s="8">
        <v>193</v>
      </c>
      <c r="I104" s="3"/>
      <c r="J104" s="7">
        <f t="shared" si="21"/>
        <v>1.2666302647191624E-4</v>
      </c>
      <c r="K104" s="3"/>
      <c r="L104" s="8">
        <f t="shared" si="22"/>
        <v>-193</v>
      </c>
      <c r="M104" s="3"/>
      <c r="N104" s="7">
        <f t="shared" si="23"/>
        <v>-1</v>
      </c>
      <c r="O104" s="12"/>
      <c r="P104" s="8"/>
      <c r="Q104" s="3"/>
      <c r="R104" s="7">
        <f t="shared" si="24"/>
        <v>0</v>
      </c>
      <c r="S104" s="3"/>
      <c r="T104" s="8">
        <v>1544</v>
      </c>
      <c r="U104" s="3"/>
      <c r="V104" s="7">
        <f t="shared" si="25"/>
        <v>2.1641244511722924E-4</v>
      </c>
      <c r="W104" s="3"/>
      <c r="X104" s="8">
        <f t="shared" si="26"/>
        <v>-1544</v>
      </c>
      <c r="Y104" s="3"/>
      <c r="Z104" s="7">
        <f t="shared" si="27"/>
        <v>-1</v>
      </c>
    </row>
    <row r="105" spans="1:26" s="70" customFormat="1" ht="15" hidden="1" customHeight="1" outlineLevel="2" x14ac:dyDescent="0.3">
      <c r="A105" s="26"/>
      <c r="B105" s="12" t="str">
        <f>CONCATENATE("          ","6309"," - ","TELEPHONE")</f>
        <v xml:space="preserve">          6309 - TELEPHONE</v>
      </c>
      <c r="C105" s="12"/>
      <c r="D105" s="8">
        <v>1396.8</v>
      </c>
      <c r="E105" s="3"/>
      <c r="F105" s="7">
        <f t="shared" si="20"/>
        <v>8.6917777984839436E-4</v>
      </c>
      <c r="G105" s="3"/>
      <c r="H105" s="8">
        <v>768</v>
      </c>
      <c r="I105" s="3"/>
      <c r="J105" s="7">
        <f t="shared" si="21"/>
        <v>5.0402696544265115E-4</v>
      </c>
      <c r="K105" s="3"/>
      <c r="L105" s="8">
        <f t="shared" si="22"/>
        <v>628.79999999999995</v>
      </c>
      <c r="M105" s="3"/>
      <c r="N105" s="7">
        <f t="shared" si="23"/>
        <v>0.81874999999999998</v>
      </c>
      <c r="O105" s="12"/>
      <c r="P105" s="8">
        <v>10982.24</v>
      </c>
      <c r="Q105" s="3"/>
      <c r="R105" s="7">
        <f t="shared" si="24"/>
        <v>1.2717176270873522E-3</v>
      </c>
      <c r="S105" s="3"/>
      <c r="T105" s="8">
        <v>6594</v>
      </c>
      <c r="U105" s="3"/>
      <c r="V105" s="7">
        <f t="shared" si="25"/>
        <v>9.2423812377137929E-4</v>
      </c>
      <c r="W105" s="3"/>
      <c r="X105" s="8">
        <f t="shared" si="26"/>
        <v>4388.24</v>
      </c>
      <c r="Y105" s="3"/>
      <c r="Z105" s="7">
        <f t="shared" si="27"/>
        <v>0.66548983924780103</v>
      </c>
    </row>
    <row r="106" spans="1:26" s="69" customFormat="1" ht="15" customHeight="1" outlineLevel="1" collapsed="1" x14ac:dyDescent="0.3">
      <c r="A106" s="25"/>
      <c r="B106" s="14" t="str">
        <f>CONCATENATE("     ","Training                                          ")</f>
        <v xml:space="preserve">     Training                                          </v>
      </c>
      <c r="C106" s="14"/>
      <c r="D106" s="2">
        <f>SUM(OSRRefD22_20x_0)</f>
        <v>4480</v>
      </c>
      <c r="E106" s="2"/>
      <c r="F106" s="6">
        <f t="shared" si="20"/>
        <v>2.7877408746569353E-3</v>
      </c>
      <c r="G106" s="2"/>
      <c r="H106" s="2">
        <f>SUM(OSRRefH22_20x_0)</f>
        <v>640</v>
      </c>
      <c r="I106" s="2"/>
      <c r="J106" s="6">
        <f t="shared" si="21"/>
        <v>4.2002247120220934E-4</v>
      </c>
      <c r="K106" s="2"/>
      <c r="L106" s="2">
        <f t="shared" si="22"/>
        <v>3840</v>
      </c>
      <c r="M106" s="2"/>
      <c r="N106" s="6">
        <f t="shared" si="23"/>
        <v>6</v>
      </c>
      <c r="O106" s="14"/>
      <c r="P106" s="2">
        <f>SUM(OSRRefP22_20x_0)</f>
        <v>5873.87</v>
      </c>
      <c r="Q106" s="2"/>
      <c r="R106" s="6">
        <f t="shared" si="24"/>
        <v>6.8018036559204542E-4</v>
      </c>
      <c r="S106" s="2"/>
      <c r="T106" s="2">
        <f>SUM(OSRRefT22_20x_0)</f>
        <v>8000</v>
      </c>
      <c r="U106" s="2"/>
      <c r="V106" s="6">
        <f t="shared" si="25"/>
        <v>1.1213080057887526E-3</v>
      </c>
      <c r="W106" s="2"/>
      <c r="X106" s="2">
        <f t="shared" si="26"/>
        <v>-2126.13</v>
      </c>
      <c r="Y106" s="2"/>
      <c r="Z106" s="6">
        <f t="shared" si="27"/>
        <v>-0.26576625000000004</v>
      </c>
    </row>
    <row r="107" spans="1:26" s="70" customFormat="1" ht="15" hidden="1" customHeight="1" outlineLevel="2" x14ac:dyDescent="0.3">
      <c r="A107" s="26"/>
      <c r="B107" s="12" t="str">
        <f>CONCATENATE("          ","6376"," - ","TRAINING")</f>
        <v xml:space="preserve">          6376 - TRAINING</v>
      </c>
      <c r="C107" s="12"/>
      <c r="D107" s="8">
        <v>4480</v>
      </c>
      <c r="E107" s="3"/>
      <c r="F107" s="7">
        <f t="shared" si="20"/>
        <v>2.7877408746569353E-3</v>
      </c>
      <c r="G107" s="3"/>
      <c r="H107" s="8">
        <v>640</v>
      </c>
      <c r="I107" s="3"/>
      <c r="J107" s="7">
        <f t="shared" si="21"/>
        <v>4.2002247120220934E-4</v>
      </c>
      <c r="K107" s="3"/>
      <c r="L107" s="8">
        <f t="shared" si="22"/>
        <v>3840</v>
      </c>
      <c r="M107" s="3"/>
      <c r="N107" s="7">
        <f t="shared" si="23"/>
        <v>6</v>
      </c>
      <c r="O107" s="12"/>
      <c r="P107" s="8">
        <v>5873.87</v>
      </c>
      <c r="Q107" s="3"/>
      <c r="R107" s="7">
        <f t="shared" si="24"/>
        <v>6.8018036559204542E-4</v>
      </c>
      <c r="S107" s="3"/>
      <c r="T107" s="8">
        <v>8000</v>
      </c>
      <c r="U107" s="3"/>
      <c r="V107" s="7">
        <f t="shared" si="25"/>
        <v>1.1213080057887526E-3</v>
      </c>
      <c r="W107" s="3"/>
      <c r="X107" s="8">
        <f t="shared" si="26"/>
        <v>-2126.13</v>
      </c>
      <c r="Y107" s="3"/>
      <c r="Z107" s="7">
        <f t="shared" si="27"/>
        <v>-0.26576625000000004</v>
      </c>
    </row>
    <row r="108" spans="1:26" s="69" customFormat="1" ht="15" customHeight="1" outlineLevel="1" collapsed="1" x14ac:dyDescent="0.3">
      <c r="A108" s="25"/>
      <c r="B108" s="14" t="str">
        <f>CONCATENATE("     ","Travel                                            ")</f>
        <v xml:space="preserve">     Travel                                            </v>
      </c>
      <c r="C108" s="14"/>
      <c r="D108" s="2">
        <f>SUM(OSRRefD22_21x_0)</f>
        <v>122.65</v>
      </c>
      <c r="E108" s="2"/>
      <c r="F108" s="6">
        <f t="shared" si="20"/>
        <v>7.6320629079614533E-5</v>
      </c>
      <c r="G108" s="2"/>
      <c r="H108" s="2">
        <f>SUM(OSRRefH22_21x_0)</f>
        <v>600</v>
      </c>
      <c r="I108" s="2"/>
      <c r="J108" s="6">
        <f t="shared" si="21"/>
        <v>3.9377106675207122E-4</v>
      </c>
      <c r="K108" s="2"/>
      <c r="L108" s="2">
        <f t="shared" si="22"/>
        <v>-477.35</v>
      </c>
      <c r="M108" s="2"/>
      <c r="N108" s="6">
        <f t="shared" si="23"/>
        <v>-0.79558333333333342</v>
      </c>
      <c r="O108" s="14"/>
      <c r="P108" s="2">
        <f>SUM(OSRRefP22_21x_0)</f>
        <v>840.26</v>
      </c>
      <c r="Q108" s="2"/>
      <c r="R108" s="6">
        <f t="shared" si="24"/>
        <v>9.7300136705846764E-5</v>
      </c>
      <c r="S108" s="2"/>
      <c r="T108" s="2">
        <f>SUM(OSRRefT22_21x_0)</f>
        <v>600</v>
      </c>
      <c r="U108" s="2"/>
      <c r="V108" s="6">
        <f t="shared" si="25"/>
        <v>8.4098100434156441E-5</v>
      </c>
      <c r="W108" s="2"/>
      <c r="X108" s="2">
        <f t="shared" si="26"/>
        <v>240.26</v>
      </c>
      <c r="Y108" s="2"/>
      <c r="Z108" s="6">
        <f t="shared" si="27"/>
        <v>0.40043333333333331</v>
      </c>
    </row>
    <row r="109" spans="1:26" s="70" customFormat="1" ht="15" hidden="1" customHeight="1" outlineLevel="2" x14ac:dyDescent="0.3">
      <c r="A109" s="26"/>
      <c r="B109" s="12" t="str">
        <f>CONCATENATE("          ","6292"," - ","TRAVEL/CONFERENCE")</f>
        <v xml:space="preserve">          6292 - TRAVEL/CONFERENCE</v>
      </c>
      <c r="C109" s="12"/>
      <c r="D109" s="8"/>
      <c r="E109" s="3"/>
      <c r="F109" s="7">
        <f t="shared" si="20"/>
        <v>0</v>
      </c>
      <c r="G109" s="3"/>
      <c r="H109" s="8">
        <v>600</v>
      </c>
      <c r="I109" s="3"/>
      <c r="J109" s="7">
        <f t="shared" si="21"/>
        <v>3.9377106675207122E-4</v>
      </c>
      <c r="K109" s="3"/>
      <c r="L109" s="8">
        <f t="shared" si="22"/>
        <v>-600</v>
      </c>
      <c r="M109" s="3"/>
      <c r="N109" s="7">
        <f t="shared" si="23"/>
        <v>-1</v>
      </c>
      <c r="O109" s="12"/>
      <c r="P109" s="8">
        <v>613.59</v>
      </c>
      <c r="Q109" s="3"/>
      <c r="R109" s="7">
        <f t="shared" si="24"/>
        <v>7.1052282485588412E-5</v>
      </c>
      <c r="S109" s="3"/>
      <c r="T109" s="8">
        <v>600</v>
      </c>
      <c r="U109" s="3"/>
      <c r="V109" s="7">
        <f t="shared" si="25"/>
        <v>8.4098100434156441E-5</v>
      </c>
      <c r="W109" s="3"/>
      <c r="X109" s="8">
        <f t="shared" si="26"/>
        <v>13.590000000000032</v>
      </c>
      <c r="Y109" s="3"/>
      <c r="Z109" s="7">
        <f t="shared" si="27"/>
        <v>2.2650000000000052E-2</v>
      </c>
    </row>
    <row r="110" spans="1:26" s="70" customFormat="1" ht="15" hidden="1" customHeight="1" outlineLevel="2" x14ac:dyDescent="0.3">
      <c r="A110" s="26"/>
      <c r="B110" s="12" t="str">
        <f>CONCATENATE("          ","6298"," - ","VEHICLE MILEAGE")</f>
        <v xml:space="preserve">          6298 - VEHICLE MILEAGE</v>
      </c>
      <c r="C110" s="12"/>
      <c r="D110" s="8">
        <v>122.65</v>
      </c>
      <c r="E110" s="3"/>
      <c r="F110" s="7">
        <f t="shared" si="20"/>
        <v>7.6320629079614533E-5</v>
      </c>
      <c r="G110" s="3"/>
      <c r="H110" s="8"/>
      <c r="I110" s="3"/>
      <c r="J110" s="7">
        <f t="shared" si="21"/>
        <v>0</v>
      </c>
      <c r="K110" s="3"/>
      <c r="L110" s="8">
        <f t="shared" si="22"/>
        <v>122.65</v>
      </c>
      <c r="M110" s="3"/>
      <c r="N110" s="7">
        <f t="shared" si="23"/>
        <v>0</v>
      </c>
      <c r="O110" s="12"/>
      <c r="P110" s="8">
        <v>226.67</v>
      </c>
      <c r="Q110" s="3"/>
      <c r="R110" s="7">
        <f t="shared" si="24"/>
        <v>2.6247854220258352E-5</v>
      </c>
      <c r="S110" s="3"/>
      <c r="T110" s="8"/>
      <c r="U110" s="3"/>
      <c r="V110" s="7">
        <f t="shared" si="25"/>
        <v>0</v>
      </c>
      <c r="W110" s="3"/>
      <c r="X110" s="8">
        <f t="shared" si="26"/>
        <v>226.67</v>
      </c>
      <c r="Y110" s="3"/>
      <c r="Z110" s="7">
        <f t="shared" si="27"/>
        <v>0</v>
      </c>
    </row>
    <row r="111" spans="1:26" s="69" customFormat="1" ht="15" customHeight="1" outlineLevel="1" collapsed="1" x14ac:dyDescent="0.3">
      <c r="A111" s="25"/>
      <c r="B111" s="14" t="str">
        <f>CONCATENATE("     ","Utilities                                         ")</f>
        <v xml:space="preserve">     Utilities                                         </v>
      </c>
      <c r="C111" s="14"/>
      <c r="D111" s="2">
        <f>SUM(OSRRefD22_22x_0)</f>
        <v>8150</v>
      </c>
      <c r="E111" s="2"/>
      <c r="F111" s="6">
        <f t="shared" si="20"/>
        <v>5.0714482429584868E-3</v>
      </c>
      <c r="G111" s="2"/>
      <c r="H111" s="2">
        <f>SUM(OSRRefH22_22x_0)</f>
        <v>8667</v>
      </c>
      <c r="I111" s="2"/>
      <c r="J111" s="6">
        <f t="shared" si="21"/>
        <v>5.6880230592336687E-3</v>
      </c>
      <c r="K111" s="2"/>
      <c r="L111" s="2">
        <f t="shared" si="22"/>
        <v>-517</v>
      </c>
      <c r="M111" s="2"/>
      <c r="N111" s="6">
        <f t="shared" si="23"/>
        <v>-5.9651551863389871E-2</v>
      </c>
      <c r="O111" s="14"/>
      <c r="P111" s="2">
        <f>SUM(OSRRefP22_22x_0)</f>
        <v>62800</v>
      </c>
      <c r="Q111" s="2"/>
      <c r="R111" s="6">
        <f t="shared" si="24"/>
        <v>7.2720926678970519E-3</v>
      </c>
      <c r="S111" s="2"/>
      <c r="T111" s="2">
        <f>SUM(OSRRefT22_22x_0)</f>
        <v>69336</v>
      </c>
      <c r="U111" s="2"/>
      <c r="V111" s="6">
        <f t="shared" si="25"/>
        <v>9.718376486171118E-3</v>
      </c>
      <c r="W111" s="2"/>
      <c r="X111" s="2">
        <f t="shared" si="26"/>
        <v>-6536</v>
      </c>
      <c r="Y111" s="2"/>
      <c r="Z111" s="6">
        <f t="shared" si="27"/>
        <v>-9.4265605169031957E-2</v>
      </c>
    </row>
    <row r="112" spans="1:26" s="70" customFormat="1" ht="15" hidden="1" customHeight="1" outlineLevel="2" x14ac:dyDescent="0.3">
      <c r="A112" s="26"/>
      <c r="B112" s="12" t="str">
        <f>CONCATENATE("          ","6274"," - ","UTILITIES")</f>
        <v xml:space="preserve">          6274 - UTILITIES</v>
      </c>
      <c r="C112" s="12"/>
      <c r="D112" s="8">
        <v>8150</v>
      </c>
      <c r="E112" s="3"/>
      <c r="F112" s="7">
        <f t="shared" si="20"/>
        <v>5.0714482429584868E-3</v>
      </c>
      <c r="G112" s="3"/>
      <c r="H112" s="8">
        <v>8667</v>
      </c>
      <c r="I112" s="3"/>
      <c r="J112" s="7">
        <f t="shared" si="21"/>
        <v>5.6880230592336687E-3</v>
      </c>
      <c r="K112" s="3"/>
      <c r="L112" s="8">
        <f t="shared" si="22"/>
        <v>-517</v>
      </c>
      <c r="M112" s="3"/>
      <c r="N112" s="7">
        <f t="shared" si="23"/>
        <v>-5.9651551863389871E-2</v>
      </c>
      <c r="O112" s="12"/>
      <c r="P112" s="8">
        <v>62800</v>
      </c>
      <c r="Q112" s="3"/>
      <c r="R112" s="7">
        <f t="shared" si="24"/>
        <v>7.2720926678970519E-3</v>
      </c>
      <c r="S112" s="3"/>
      <c r="T112" s="8">
        <v>69336</v>
      </c>
      <c r="U112" s="3"/>
      <c r="V112" s="7">
        <f t="shared" si="25"/>
        <v>9.718376486171118E-3</v>
      </c>
      <c r="W112" s="3"/>
      <c r="X112" s="8">
        <f t="shared" si="26"/>
        <v>-6536</v>
      </c>
      <c r="Y112" s="3"/>
      <c r="Z112" s="7">
        <f t="shared" si="27"/>
        <v>-9.4265605169031957E-2</v>
      </c>
    </row>
    <row r="113" spans="1:26" s="65" customFormat="1" ht="15" customHeight="1" x14ac:dyDescent="0.3">
      <c r="A113" s="35"/>
      <c r="B113" s="35"/>
      <c r="C113" s="35"/>
      <c r="D113" s="2"/>
      <c r="E113" s="2"/>
      <c r="F113" s="6"/>
      <c r="G113" s="2"/>
      <c r="H113" s="2"/>
      <c r="I113" s="2"/>
      <c r="J113" s="6"/>
      <c r="K113" s="2"/>
      <c r="L113" s="2"/>
      <c r="M113" s="2"/>
      <c r="N113" s="6"/>
      <c r="O113" s="35"/>
      <c r="P113" s="2"/>
      <c r="Q113" s="2"/>
      <c r="R113" s="6"/>
      <c r="S113" s="2"/>
      <c r="T113" s="2"/>
      <c r="U113" s="2"/>
      <c r="V113" s="6"/>
      <c r="W113" s="2"/>
      <c r="X113" s="2"/>
      <c r="Y113" s="2"/>
      <c r="Z113" s="6"/>
    </row>
    <row r="114" spans="1:26" s="63" customFormat="1" ht="15" customHeight="1" collapsed="1" x14ac:dyDescent="0.3">
      <c r="A114" s="11"/>
      <c r="B114" s="27" t="s">
        <v>291</v>
      </c>
      <c r="C114" s="11"/>
      <c r="D114" s="5">
        <f>SUM(OSRRefD25x_0)</f>
        <v>2073.62</v>
      </c>
      <c r="E114" s="5"/>
      <c r="F114" s="13">
        <f>IF(D$12=0,0,D114/D$12)</f>
        <v>1.2903382215415432E-3</v>
      </c>
      <c r="G114" s="5"/>
      <c r="H114" s="5">
        <f>SUM(OSRRefH25x_0)</f>
        <v>37154.720000000001</v>
      </c>
      <c r="I114" s="5"/>
      <c r="J114" s="13">
        <f>IF(H$12=0,0,H114/H$12)</f>
        <v>2.4384089548790861E-2</v>
      </c>
      <c r="K114" s="5"/>
      <c r="L114" s="5">
        <f>+D114-H114</f>
        <v>-35081.1</v>
      </c>
      <c r="M114" s="5"/>
      <c r="N114" s="13">
        <f>IF(H114=0,0,L114/H114)</f>
        <v>-0.94418959421575499</v>
      </c>
      <c r="O114" s="11"/>
      <c r="P114" s="5">
        <f>SUM(OSRRefP25x_0)</f>
        <v>143215.47</v>
      </c>
      <c r="Q114" s="5"/>
      <c r="R114" s="13">
        <f>IF(P$12=0,0,P114/P$12)</f>
        <v>1.6584015434975001E-2</v>
      </c>
      <c r="S114" s="5"/>
      <c r="T114" s="5">
        <f>SUM(OSRRefT25x_0)</f>
        <v>84373.31</v>
      </c>
      <c r="U114" s="5"/>
      <c r="V114" s="13">
        <f>IF(T$12=0,0,T114/T$12)</f>
        <v>1.1826058497237026E-2</v>
      </c>
      <c r="W114" s="5"/>
      <c r="X114" s="5">
        <f>+P114-T114</f>
        <v>58842.16</v>
      </c>
      <c r="Y114" s="5"/>
      <c r="Z114" s="13">
        <f>IF(T114=0,0,X114/T114)</f>
        <v>0.69740253167737531</v>
      </c>
    </row>
    <row r="115" spans="1:26" s="70" customFormat="1" ht="15" hidden="1" customHeight="1" outlineLevel="1" x14ac:dyDescent="0.3">
      <c r="A115" s="42"/>
      <c r="B115" s="12" t="str">
        <f>CONCATENATE("          ","9150"," - ","MISC. INCOME")</f>
        <v xml:space="preserve">          9150 - MISC. INCOME</v>
      </c>
      <c r="C115" s="12"/>
      <c r="D115" s="3">
        <f>--2073.62</f>
        <v>2073.62</v>
      </c>
      <c r="E115" s="3"/>
      <c r="F115" s="20">
        <f>IF(D$12=0,0,D115/D$12)</f>
        <v>1.2903382215415432E-3</v>
      </c>
      <c r="G115" s="3"/>
      <c r="H115" s="3"/>
      <c r="I115" s="3"/>
      <c r="J115" s="20">
        <f>IF(H$12=0,0,H115/H$12)</f>
        <v>0</v>
      </c>
      <c r="K115" s="3"/>
      <c r="L115" s="3">
        <f>+D115-H115</f>
        <v>2073.62</v>
      </c>
      <c r="M115" s="3"/>
      <c r="N115" s="20">
        <f>IF(H115=0,0,L115/H115)</f>
        <v>0</v>
      </c>
      <c r="O115" s="12"/>
      <c r="P115" s="3">
        <f>--143215.47</f>
        <v>143215.47</v>
      </c>
      <c r="Q115" s="3"/>
      <c r="R115" s="20">
        <f>IF(P$12=0,0,P115/P$12)</f>
        <v>1.6584015434975001E-2</v>
      </c>
      <c r="S115" s="3"/>
      <c r="T115" s="3">
        <v>1000</v>
      </c>
      <c r="U115" s="3"/>
      <c r="V115" s="20">
        <f>IF(T$12=0,0,T115/T$12)</f>
        <v>1.4016350072359408E-4</v>
      </c>
      <c r="W115" s="3"/>
      <c r="X115" s="3">
        <f>+P115-T115</f>
        <v>142215.47</v>
      </c>
      <c r="Y115" s="3"/>
      <c r="Z115" s="20">
        <f>IF(T115=0,0,X115/T115)</f>
        <v>142.21547000000001</v>
      </c>
    </row>
    <row r="116" spans="1:26" s="70" customFormat="1" ht="15" hidden="1" customHeight="1" outlineLevel="1" x14ac:dyDescent="0.3">
      <c r="A116" s="42"/>
      <c r="B116" s="12" t="str">
        <f>CONCATENATE("          ","9151"," - ","MISC. INCOME")</f>
        <v xml:space="preserve">          9151 - MISC. INCOME</v>
      </c>
      <c r="C116" s="12"/>
      <c r="D116" s="3">
        <f>0</f>
        <v>0</v>
      </c>
      <c r="E116" s="3"/>
      <c r="F116" s="20">
        <f>IF(D$12=0,0,D116/D$12)</f>
        <v>0</v>
      </c>
      <c r="G116" s="3"/>
      <c r="H116" s="3">
        <v>16640.22</v>
      </c>
      <c r="I116" s="3"/>
      <c r="J116" s="20">
        <f>IF(H$12=0,0,H116/H$12)</f>
        <v>1.0920728633981918E-2</v>
      </c>
      <c r="K116" s="3"/>
      <c r="L116" s="3">
        <f>+D116-H116</f>
        <v>-16640.22</v>
      </c>
      <c r="M116" s="3"/>
      <c r="N116" s="20">
        <f>IF(H116=0,0,L116/H116)</f>
        <v>-1</v>
      </c>
      <c r="O116" s="12"/>
      <c r="P116" s="3">
        <f>0</f>
        <v>0</v>
      </c>
      <c r="Q116" s="3"/>
      <c r="R116" s="20">
        <f>IF(P$12=0,0,P116/P$12)</f>
        <v>0</v>
      </c>
      <c r="S116" s="3"/>
      <c r="T116" s="3">
        <v>32892.22</v>
      </c>
      <c r="U116" s="3"/>
      <c r="V116" s="20">
        <f>IF(T$12=0,0,T116/T$12)</f>
        <v>4.6102887017706153E-3</v>
      </c>
      <c r="W116" s="3"/>
      <c r="X116" s="3">
        <f>+P116-T116</f>
        <v>-32892.22</v>
      </c>
      <c r="Y116" s="3"/>
      <c r="Z116" s="20">
        <f>IF(T116=0,0,X116/T116)</f>
        <v>-1</v>
      </c>
    </row>
    <row r="117" spans="1:26" s="70" customFormat="1" ht="15" hidden="1" customHeight="1" outlineLevel="1" x14ac:dyDescent="0.3">
      <c r="A117" s="42"/>
      <c r="B117" s="12" t="str">
        <f>CONCATENATE("          ","9160"," - ","MISC. INCOME")</f>
        <v xml:space="preserve">          9160 - MISC. INCOME</v>
      </c>
      <c r="C117" s="12"/>
      <c r="D117" s="3">
        <f>0</f>
        <v>0</v>
      </c>
      <c r="E117" s="3"/>
      <c r="F117" s="20">
        <f>IF(D$12=0,0,D117/D$12)</f>
        <v>0</v>
      </c>
      <c r="G117" s="3"/>
      <c r="H117" s="3">
        <v>20514.5</v>
      </c>
      <c r="I117" s="3"/>
      <c r="J117" s="20">
        <f>IF(H$12=0,0,H117/H$12)</f>
        <v>1.3463360914808943E-2</v>
      </c>
      <c r="K117" s="3"/>
      <c r="L117" s="3">
        <f>+D117-H117</f>
        <v>-20514.5</v>
      </c>
      <c r="M117" s="3"/>
      <c r="N117" s="20">
        <f>IF(H117=0,0,L117/H117)</f>
        <v>-1</v>
      </c>
      <c r="O117" s="12"/>
      <c r="P117" s="3">
        <f>0</f>
        <v>0</v>
      </c>
      <c r="Q117" s="3"/>
      <c r="R117" s="20">
        <f>IF(P$12=0,0,P117/P$12)</f>
        <v>0</v>
      </c>
      <c r="S117" s="3"/>
      <c r="T117" s="3">
        <v>50481.09</v>
      </c>
      <c r="U117" s="3"/>
      <c r="V117" s="20">
        <f>IF(T$12=0,0,T117/T$12)</f>
        <v>7.0756062947428169E-3</v>
      </c>
      <c r="W117" s="3"/>
      <c r="X117" s="3">
        <f>+P117-T117</f>
        <v>-50481.09</v>
      </c>
      <c r="Y117" s="3"/>
      <c r="Z117" s="20">
        <f>IF(T117=0,0,X117/T117)</f>
        <v>-1</v>
      </c>
    </row>
    <row r="118" spans="1:26" s="70" customFormat="1" ht="15" hidden="1" customHeight="1" outlineLevel="1" x14ac:dyDescent="0.3">
      <c r="A118" s="42"/>
      <c r="B118" s="12" t="str">
        <f>CONCATENATE("          ","9165"," - ","OTHER INCOME")</f>
        <v xml:space="preserve">          9165 - OTHER INCOME</v>
      </c>
      <c r="C118" s="12"/>
      <c r="D118" s="3">
        <f>0</f>
        <v>0</v>
      </c>
      <c r="E118" s="3"/>
      <c r="F118" s="20">
        <f>IF(D$12=0,0,D118/D$12)</f>
        <v>0</v>
      </c>
      <c r="G118" s="3"/>
      <c r="H118" s="3"/>
      <c r="I118" s="3"/>
      <c r="J118" s="20">
        <f>IF(H$12=0,0,H118/H$12)</f>
        <v>0</v>
      </c>
      <c r="K118" s="3"/>
      <c r="L118" s="3">
        <f>+D118-H118</f>
        <v>0</v>
      </c>
      <c r="M118" s="3"/>
      <c r="N118" s="20">
        <f>IF(H118=0,0,L118/H118)</f>
        <v>0</v>
      </c>
      <c r="O118" s="12"/>
      <c r="P118" s="3">
        <f>0</f>
        <v>0</v>
      </c>
      <c r="Q118" s="3"/>
      <c r="R118" s="20">
        <f>IF(P$12=0,0,P118/P$12)</f>
        <v>0</v>
      </c>
      <c r="S118" s="3"/>
      <c r="T118" s="3"/>
      <c r="U118" s="3"/>
      <c r="V118" s="20">
        <f>IF(T$12=0,0,T118/T$12)</f>
        <v>0</v>
      </c>
      <c r="W118" s="3"/>
      <c r="X118" s="3">
        <f>+P118-T118</f>
        <v>0</v>
      </c>
      <c r="Y118" s="3"/>
      <c r="Z118" s="20">
        <f>IF(T118=0,0,X118/T118)</f>
        <v>0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3">
      <c r="A120" s="11"/>
      <c r="B120" s="28" t="s">
        <v>292</v>
      </c>
      <c r="C120" s="28"/>
      <c r="D120" s="21">
        <f>+D25-D27+D114</f>
        <v>490986.60999999975</v>
      </c>
      <c r="E120" s="15"/>
      <c r="F120" s="22">
        <f>IF(D$12=0,0,D120/D$12)</f>
        <v>0.30552308964425062</v>
      </c>
      <c r="G120" s="15"/>
      <c r="H120" s="21">
        <f>+H25-H27+H114</f>
        <v>357507.93748423096</v>
      </c>
      <c r="I120" s="15"/>
      <c r="J120" s="22">
        <f>IF(H$12=0,0,H120/H$12)</f>
        <v>0.2346271365258307</v>
      </c>
      <c r="K120" s="16"/>
      <c r="L120" s="21">
        <f>+D120-H120</f>
        <v>133478.67251576879</v>
      </c>
      <c r="M120" s="16"/>
      <c r="N120" s="22">
        <f>IF(H120=0,0,L120/H120)</f>
        <v>0.37335862653862417</v>
      </c>
      <c r="O120" s="27"/>
      <c r="P120" s="21">
        <f>+P25-P27+P114</f>
        <v>1520673.099999998</v>
      </c>
      <c r="Q120" s="15"/>
      <c r="R120" s="22">
        <f>IF(P$12=0,0,P120/P$12)</f>
        <v>0.17609037740092778</v>
      </c>
      <c r="S120" s="15"/>
      <c r="T120" s="21">
        <f>+T25-T27+T114</f>
        <v>-350139.30351103615</v>
      </c>
      <c r="U120" s="15"/>
      <c r="V120" s="22">
        <f>IF(T$12=0,0,T120/T$12)</f>
        <v>-4.9076750521027841E-2</v>
      </c>
      <c r="W120" s="16"/>
      <c r="X120" s="21">
        <f>+P120-T120</f>
        <v>1870812.4035110341</v>
      </c>
      <c r="Y120" s="16"/>
      <c r="Z120" s="22">
        <f>IF(T120=0,0,X120/T120)</f>
        <v>-5.3430517075672066</v>
      </c>
    </row>
    <row r="121" spans="1:26" ht="15" customHeight="1" x14ac:dyDescent="0.3">
      <c r="A121" s="10"/>
      <c r="B121" s="11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s="63" customFormat="1" ht="15" customHeight="1" x14ac:dyDescent="0.3">
      <c r="A122" s="49"/>
      <c r="B122" s="11" t="s">
        <v>293</v>
      </c>
      <c r="C122" s="11"/>
      <c r="D122" s="5">
        <v>147565.12</v>
      </c>
      <c r="E122" s="5"/>
      <c r="F122" s="13">
        <f>IF(D$12=0,0,D122/D$12)</f>
        <v>9.1824401048583831E-2</v>
      </c>
      <c r="G122" s="5"/>
      <c r="H122" s="5">
        <v>169166</v>
      </c>
      <c r="I122" s="5"/>
      <c r="J122" s="13">
        <f>IF(H$12=0,0,H122/H$12)</f>
        <v>0.11102112713030148</v>
      </c>
      <c r="K122" s="5"/>
      <c r="L122" s="5">
        <f>+D122-H122</f>
        <v>-21600.880000000005</v>
      </c>
      <c r="M122" s="5"/>
      <c r="N122" s="13">
        <f>IF(H122=0,0,L122/H122)</f>
        <v>-0.12769043424801677</v>
      </c>
      <c r="O122" s="11"/>
      <c r="P122" s="5">
        <v>1077938.0900000001</v>
      </c>
      <c r="Q122" s="5"/>
      <c r="R122" s="13">
        <f>IF(P$12=0,0,P122/P$12)</f>
        <v>0.12482270192254702</v>
      </c>
      <c r="S122" s="5"/>
      <c r="T122" s="5">
        <v>872178</v>
      </c>
      <c r="U122" s="5"/>
      <c r="V122" s="13">
        <f>IF(T$12=0,0,T122/T$12)</f>
        <v>0.12224752173410283</v>
      </c>
      <c r="W122" s="5"/>
      <c r="X122" s="5">
        <f>+P122-T122</f>
        <v>205760.09000000008</v>
      </c>
      <c r="Y122" s="5"/>
      <c r="Z122" s="13">
        <f>IF(T122=0,0,X122/T122)</f>
        <v>0.23591524895147559</v>
      </c>
    </row>
    <row r="123" spans="1:26" ht="15" customHeight="1" x14ac:dyDescent="0.3">
      <c r="A123" s="10"/>
      <c r="B123" s="11"/>
      <c r="C123" s="11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O123" s="11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3" customFormat="1" ht="15" customHeight="1" x14ac:dyDescent="0.3">
      <c r="A124" s="11"/>
      <c r="B124" s="28" t="s">
        <v>294</v>
      </c>
      <c r="C124" s="28"/>
      <c r="D124" s="33">
        <f>+D120-D122</f>
        <v>343421.48999999976</v>
      </c>
      <c r="E124" s="15"/>
      <c r="F124" s="32">
        <f>IF(D$12=0,0,D124/D$12)</f>
        <v>0.21369868859566679</v>
      </c>
      <c r="G124" s="15"/>
      <c r="H124" s="33">
        <f>+H120-H122</f>
        <v>188341.93748423096</v>
      </c>
      <c r="I124" s="15"/>
      <c r="J124" s="32">
        <f>IF(H$12=0,0,H124/H$12)</f>
        <v>0.12360600939552922</v>
      </c>
      <c r="K124" s="16"/>
      <c r="L124" s="33">
        <f>D124-H124</f>
        <v>155079.5525157688</v>
      </c>
      <c r="M124" s="16"/>
      <c r="N124" s="32">
        <f>IF(H124=0,0,L124/H124)</f>
        <v>0.82339363493461415</v>
      </c>
      <c r="O124" s="27"/>
      <c r="P124" s="33">
        <f>+P120-P122</f>
        <v>442735.00999999791</v>
      </c>
      <c r="Q124" s="15"/>
      <c r="R124" s="32">
        <f>IF(P$12=0,0,P124/P$12)</f>
        <v>5.1267675478380771E-2</v>
      </c>
      <c r="S124" s="15"/>
      <c r="T124" s="33">
        <f>+T120-T122</f>
        <v>-1222317.3035110361</v>
      </c>
      <c r="U124" s="15"/>
      <c r="V124" s="32">
        <f>IF(T$12=0,0,T124/T$12)</f>
        <v>-0.17132427225513067</v>
      </c>
      <c r="W124" s="16"/>
      <c r="X124" s="33">
        <f>P124-T124</f>
        <v>1665052.313511034</v>
      </c>
      <c r="Y124" s="16"/>
      <c r="Z124" s="32">
        <f>IF(T124=0,0,X124/T124)</f>
        <v>-1.3622095578032538</v>
      </c>
    </row>
    <row r="125" spans="1:26" ht="15" customHeight="1" x14ac:dyDescent="0.3">
      <c r="A125" s="10"/>
      <c r="B125" s="10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ht="15" customHeight="1" x14ac:dyDescent="0.3">
      <c r="A126" s="10"/>
      <c r="B126" s="10"/>
      <c r="C126" s="10"/>
      <c r="D126" s="4"/>
      <c r="E126" s="4"/>
      <c r="F126" s="9"/>
      <c r="G126" s="4"/>
      <c r="H126" s="4"/>
      <c r="I126" s="4"/>
      <c r="J126" s="9"/>
      <c r="K126" s="4"/>
      <c r="L126" s="4"/>
      <c r="M126" s="4"/>
      <c r="N126" s="9"/>
      <c r="P126" s="4"/>
      <c r="Q126" s="4"/>
      <c r="R126" s="9"/>
      <c r="S126" s="4"/>
      <c r="T126" s="4"/>
      <c r="U126" s="4"/>
      <c r="V126" s="9"/>
      <c r="W126" s="4"/>
      <c r="X126" s="4"/>
      <c r="Y126" s="4"/>
      <c r="Z126" s="9"/>
    </row>
    <row r="127" spans="1:26" s="63" customFormat="1" ht="15" customHeight="1" x14ac:dyDescent="0.3">
      <c r="A127" s="11"/>
      <c r="B127" s="28" t="s">
        <v>297</v>
      </c>
      <c r="C127" s="28"/>
      <c r="D127" s="34">
        <f>SUM(D124:D126)</f>
        <v>343421.48999999976</v>
      </c>
      <c r="E127" s="15"/>
      <c r="F127" s="30">
        <f>IF(D$12=0,0,D127/D$12)</f>
        <v>0.21369868859566679</v>
      </c>
      <c r="G127" s="15"/>
      <c r="H127" s="34">
        <f>SUM(H124:H126)</f>
        <v>188341.93748423096</v>
      </c>
      <c r="I127" s="15"/>
      <c r="J127" s="30">
        <f>IF(H$12=0,0,H127/H$12)</f>
        <v>0.12360600939552922</v>
      </c>
      <c r="K127" s="16"/>
      <c r="L127" s="34">
        <f>+D127-H127</f>
        <v>155079.5525157688</v>
      </c>
      <c r="M127" s="16"/>
      <c r="N127" s="30">
        <f>IF(H127=0,0,L127/H127)</f>
        <v>0.82339363493461415</v>
      </c>
      <c r="O127" s="27"/>
      <c r="P127" s="34">
        <f>SUM(P124:P126)</f>
        <v>442735.00999999791</v>
      </c>
      <c r="Q127" s="15"/>
      <c r="R127" s="30">
        <f>IF(P$12=0,0,P127/P$12)</f>
        <v>5.1267675478380771E-2</v>
      </c>
      <c r="S127" s="15"/>
      <c r="T127" s="34">
        <f>SUM(T124:T126)</f>
        <v>-1222317.3035110361</v>
      </c>
      <c r="U127" s="15"/>
      <c r="V127" s="30">
        <f>IF(T$12=0,0,T127/T$12)</f>
        <v>-0.17132427225513067</v>
      </c>
      <c r="W127" s="16"/>
      <c r="X127" s="34">
        <f>+P127-T127</f>
        <v>1665052.313511034</v>
      </c>
      <c r="Y127" s="16"/>
      <c r="Z127" s="30">
        <f>IF(T127=0,0,X127/T127)</f>
        <v>-1.3622095578032538</v>
      </c>
    </row>
    <row r="128" spans="1:26" ht="15" customHeight="1" x14ac:dyDescent="0.3">
      <c r="A128" s="10"/>
      <c r="C128" s="10"/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  <row r="129" spans="1:24" ht="15" customHeight="1" x14ac:dyDescent="0.3">
      <c r="A129" s="10"/>
      <c r="B129" s="57">
        <v>44634.883412118055</v>
      </c>
      <c r="D129" s="19"/>
      <c r="E129" s="19"/>
      <c r="G129" s="19"/>
      <c r="H129" s="19"/>
      <c r="I129" s="19"/>
      <c r="J129" s="41"/>
      <c r="K129" s="19"/>
      <c r="L129" s="19"/>
      <c r="M129" s="19"/>
      <c r="P129" s="19"/>
      <c r="Q129" s="19"/>
      <c r="R129" s="41"/>
      <c r="S129" s="19"/>
      <c r="T129" s="19"/>
      <c r="U129" s="19"/>
      <c r="V129" s="41"/>
      <c r="W129" s="19"/>
      <c r="X129" s="19"/>
    </row>
    <row r="130" spans="1:24" ht="15" customHeight="1" x14ac:dyDescent="0.3">
      <c r="A130" s="10"/>
      <c r="B130" s="56" t="s">
        <v>298</v>
      </c>
      <c r="D130" s="19"/>
      <c r="E130" s="19"/>
      <c r="G130" s="19"/>
      <c r="H130" s="19"/>
      <c r="I130" s="19"/>
      <c r="J130" s="41"/>
      <c r="K130" s="19"/>
      <c r="L130" s="19"/>
      <c r="M130" s="19"/>
      <c r="P130" s="19"/>
      <c r="Q130" s="19"/>
      <c r="R130" s="41"/>
      <c r="S130" s="19"/>
      <c r="T130" s="19"/>
      <c r="U130" s="19"/>
      <c r="V130" s="41"/>
      <c r="W130" s="19"/>
      <c r="X130" s="19"/>
    </row>
    <row r="131" spans="1:24" ht="15" customHeight="1" x14ac:dyDescent="0.3">
      <c r="A131" s="10"/>
      <c r="B131" s="54"/>
      <c r="D131" s="19"/>
      <c r="E131" s="19"/>
      <c r="G131" s="19"/>
      <c r="H131" s="19"/>
      <c r="I131" s="19"/>
      <c r="J131" s="41"/>
      <c r="K131" s="19"/>
      <c r="L131" s="19"/>
      <c r="M131" s="19"/>
      <c r="P131" s="19"/>
      <c r="Q131" s="19"/>
      <c r="R131" s="41"/>
      <c r="S131" s="19"/>
      <c r="T131" s="19"/>
      <c r="U131" s="19"/>
      <c r="V131" s="41"/>
      <c r="W131" s="19"/>
      <c r="X131" s="19"/>
    </row>
    <row r="132" spans="1:24" ht="15" customHeight="1" x14ac:dyDescent="0.3">
      <c r="D132" s="19"/>
      <c r="E132" s="19"/>
      <c r="G132" s="19"/>
      <c r="H132" s="19"/>
      <c r="I132" s="19"/>
      <c r="J132" s="41"/>
      <c r="K132" s="19"/>
      <c r="L132" s="19"/>
      <c r="M132" s="19"/>
      <c r="P132" s="19"/>
      <c r="Q132" s="19"/>
      <c r="R132" s="41"/>
      <c r="S132" s="19"/>
      <c r="T132" s="19"/>
      <c r="U132" s="19"/>
      <c r="V132" s="41"/>
      <c r="W132" s="19"/>
      <c r="X132" s="1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BF39C-8223-7903-7381-C7B9CB6F01D5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299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9DD83-5E79-F8B9-79E1-6B3495FB372D}">
  <sheetPr>
    <tabColor theme="5" tint="0.39997558519241921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311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310083.58</v>
      </c>
      <c r="E12" s="5"/>
      <c r="F12" s="13"/>
      <c r="G12" s="5"/>
      <c r="H12" s="5">
        <f>SUM(OSRRefH13x_0)</f>
        <v>491350</v>
      </c>
      <c r="I12" s="5"/>
      <c r="J12" s="13"/>
      <c r="K12" s="5"/>
      <c r="L12" s="5">
        <f t="shared" ref="L12:L18" si="0">+D12-H12</f>
        <v>-181266.41999999998</v>
      </c>
      <c r="M12" s="5"/>
      <c r="N12" s="13">
        <f t="shared" ref="N12:N18" si="1">IF(H12=0,0,L12/H12)</f>
        <v>-0.36891507072351681</v>
      </c>
      <c r="O12" s="11"/>
      <c r="P12" s="5">
        <f>SUM(OSRRefP13x_0)</f>
        <v>993710.60000000009</v>
      </c>
      <c r="Q12" s="5"/>
      <c r="R12" s="13"/>
      <c r="S12" s="5"/>
      <c r="T12" s="5">
        <f>SUM(OSRRefT13x_0)</f>
        <v>1331786</v>
      </c>
      <c r="U12" s="5"/>
      <c r="V12" s="13"/>
      <c r="W12" s="5"/>
      <c r="X12" s="5">
        <f t="shared" ref="X12:X18" si="2">+P12-T12</f>
        <v>-338075.39999999991</v>
      </c>
      <c r="Y12" s="5"/>
      <c r="Z12" s="13">
        <f t="shared" ref="Z12:Z18" si="3">IF(T12=0,0,X12/T12)</f>
        <v>-0.25385114425290545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--14914.64</f>
        <v>14914.64</v>
      </c>
      <c r="E13" s="3"/>
      <c r="F13" s="20"/>
      <c r="G13" s="3"/>
      <c r="H13" s="3">
        <v>188725</v>
      </c>
      <c r="I13" s="3"/>
      <c r="J13" s="20"/>
      <c r="K13" s="3"/>
      <c r="L13" s="3">
        <f t="shared" si="0"/>
        <v>-173810.36</v>
      </c>
      <c r="M13" s="3"/>
      <c r="N13" s="20">
        <f t="shared" si="1"/>
        <v>-0.92097157239369443</v>
      </c>
      <c r="O13" s="12"/>
      <c r="P13" s="3">
        <f>--28469.2</f>
        <v>28469.200000000001</v>
      </c>
      <c r="Q13" s="3"/>
      <c r="R13" s="20"/>
      <c r="S13" s="3"/>
      <c r="T13" s="3">
        <v>446555</v>
      </c>
      <c r="U13" s="3"/>
      <c r="V13" s="20"/>
      <c r="W13" s="3"/>
      <c r="X13" s="3">
        <f t="shared" si="2"/>
        <v>-418085.8</v>
      </c>
      <c r="Y13" s="3"/>
      <c r="Z13" s="20">
        <f t="shared" si="3"/>
        <v>-0.93624704683633597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--56330.93</f>
        <v>56330.93</v>
      </c>
      <c r="E14" s="3"/>
      <c r="F14" s="20"/>
      <c r="G14" s="3"/>
      <c r="H14" s="3"/>
      <c r="I14" s="3"/>
      <c r="J14" s="20"/>
      <c r="K14" s="3"/>
      <c r="L14" s="3">
        <f t="shared" si="0"/>
        <v>56330.93</v>
      </c>
      <c r="M14" s="3"/>
      <c r="N14" s="20">
        <f t="shared" si="1"/>
        <v>0</v>
      </c>
      <c r="O14" s="12"/>
      <c r="P14" s="3">
        <f>--205690.29</f>
        <v>205690.29</v>
      </c>
      <c r="Q14" s="3"/>
      <c r="R14" s="20"/>
      <c r="S14" s="3"/>
      <c r="T14" s="3"/>
      <c r="U14" s="3"/>
      <c r="V14" s="20"/>
      <c r="W14" s="3"/>
      <c r="X14" s="3">
        <f t="shared" si="2"/>
        <v>205690.29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--5743.27</f>
        <v>5743.27</v>
      </c>
      <c r="E15" s="3"/>
      <c r="F15" s="20"/>
      <c r="G15" s="3"/>
      <c r="H15" s="3"/>
      <c r="I15" s="3"/>
      <c r="J15" s="20"/>
      <c r="K15" s="3"/>
      <c r="L15" s="3">
        <f t="shared" si="0"/>
        <v>5743.27</v>
      </c>
      <c r="M15" s="3"/>
      <c r="N15" s="20">
        <f t="shared" si="1"/>
        <v>0</v>
      </c>
      <c r="O15" s="12"/>
      <c r="P15" s="3">
        <f>--15234.46</f>
        <v>15234.46</v>
      </c>
      <c r="Q15" s="3"/>
      <c r="R15" s="20"/>
      <c r="S15" s="3"/>
      <c r="T15" s="3"/>
      <c r="U15" s="3"/>
      <c r="V15" s="20"/>
      <c r="W15" s="3"/>
      <c r="X15" s="3">
        <f t="shared" si="2"/>
        <v>15234.46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--78719.83</f>
        <v>78719.83</v>
      </c>
      <c r="E16" s="3"/>
      <c r="F16" s="20"/>
      <c r="G16" s="3"/>
      <c r="H16" s="3">
        <v>302625</v>
      </c>
      <c r="I16" s="3"/>
      <c r="J16" s="20"/>
      <c r="K16" s="3"/>
      <c r="L16" s="3">
        <f t="shared" si="0"/>
        <v>-223905.16999999998</v>
      </c>
      <c r="M16" s="3"/>
      <c r="N16" s="20">
        <f t="shared" si="1"/>
        <v>-0.73987664601404368</v>
      </c>
      <c r="O16" s="12"/>
      <c r="P16" s="3">
        <f>--145707.51</f>
        <v>145707.51</v>
      </c>
      <c r="Q16" s="3"/>
      <c r="R16" s="20"/>
      <c r="S16" s="3"/>
      <c r="T16" s="3">
        <v>885231</v>
      </c>
      <c r="U16" s="3"/>
      <c r="V16" s="20"/>
      <c r="W16" s="3"/>
      <c r="X16" s="3">
        <f t="shared" si="2"/>
        <v>-739523.49</v>
      </c>
      <c r="Y16" s="3"/>
      <c r="Z16" s="20">
        <f t="shared" si="3"/>
        <v>-0.83540170870654096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--154374.91</f>
        <v>154374.91</v>
      </c>
      <c r="E17" s="3"/>
      <c r="F17" s="20"/>
      <c r="G17" s="3"/>
      <c r="H17" s="3"/>
      <c r="I17" s="3"/>
      <c r="J17" s="20"/>
      <c r="K17" s="3"/>
      <c r="L17" s="3">
        <f t="shared" si="0"/>
        <v>154374.91</v>
      </c>
      <c r="M17" s="3"/>
      <c r="N17" s="20">
        <f t="shared" si="1"/>
        <v>0</v>
      </c>
      <c r="O17" s="12"/>
      <c r="P17" s="3">
        <f>--598609.14</f>
        <v>598609.14</v>
      </c>
      <c r="Q17" s="3"/>
      <c r="R17" s="20"/>
      <c r="S17" s="3"/>
      <c r="T17" s="3"/>
      <c r="U17" s="3"/>
      <c r="V17" s="20"/>
      <c r="W17" s="3"/>
      <c r="X17" s="3">
        <f t="shared" si="2"/>
        <v>598609.14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7" t="s">
        <v>288</v>
      </c>
      <c r="C20" s="11"/>
      <c r="D20" s="5">
        <f>SUM(OSRRefD16x_0)</f>
        <v>124282.15999999999</v>
      </c>
      <c r="E20" s="5"/>
      <c r="F20" s="13">
        <f>IF(D$12=0,0,D20/D$12)</f>
        <v>0.40080213212192656</v>
      </c>
      <c r="G20" s="5"/>
      <c r="H20" s="5">
        <f>SUM(OSRRefH16x_0)</f>
        <v>181056</v>
      </c>
      <c r="I20" s="5"/>
      <c r="J20" s="13">
        <f>IF(H$12=0,0,H20/H$12)</f>
        <v>0.36848682202096267</v>
      </c>
      <c r="K20" s="5"/>
      <c r="L20" s="5">
        <f>+D20-H20</f>
        <v>-56773.840000000011</v>
      </c>
      <c r="M20" s="5"/>
      <c r="N20" s="13">
        <f>IF(H20=0,0,L20/H20)</f>
        <v>-0.31357060798868863</v>
      </c>
      <c r="O20" s="11"/>
      <c r="P20" s="5">
        <f>SUM(OSRRefP16x_0)</f>
        <v>419014.95999999996</v>
      </c>
      <c r="Q20" s="5"/>
      <c r="R20" s="13">
        <f>IF(P$12=0,0,P20/P$12)</f>
        <v>0.42166699238188654</v>
      </c>
      <c r="S20" s="5"/>
      <c r="T20" s="5">
        <f>SUM(OSRRefT16x_0)</f>
        <v>498471</v>
      </c>
      <c r="U20" s="5"/>
      <c r="V20" s="13">
        <f>IF(T$12=0,0,T20/T$12)</f>
        <v>0.37428761077230127</v>
      </c>
      <c r="W20" s="5"/>
      <c r="X20" s="5">
        <f>+P20-T20</f>
        <v>-79456.040000000037</v>
      </c>
      <c r="Y20" s="5"/>
      <c r="Z20" s="13">
        <f>IF(T20=0,0,X20/T20)</f>
        <v>-0.15939952374360802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>
        <v>-10213</v>
      </c>
      <c r="E21" s="3"/>
      <c r="F21" s="20">
        <f>IF(D$12=0,0,D21/D$12)</f>
        <v>-3.2936281243914949E-2</v>
      </c>
      <c r="G21" s="3"/>
      <c r="H21" s="3">
        <v>181056</v>
      </c>
      <c r="I21" s="3"/>
      <c r="J21" s="20">
        <f>IF(H$12=0,0,H21/H$12)</f>
        <v>0.36848682202096267</v>
      </c>
      <c r="K21" s="3"/>
      <c r="L21" s="3">
        <f>+D21-H21</f>
        <v>-191269</v>
      </c>
      <c r="M21" s="3"/>
      <c r="N21" s="20">
        <f>IF(H21=0,0,L21/H21)</f>
        <v>-1.0564079621774478</v>
      </c>
      <c r="O21" s="12"/>
      <c r="P21" s="3">
        <v>-10213</v>
      </c>
      <c r="Q21" s="3"/>
      <c r="R21" s="20">
        <f>IF(P$12=0,0,P21/P$12)</f>
        <v>-1.0277640190212321E-2</v>
      </c>
      <c r="S21" s="3"/>
      <c r="T21" s="3">
        <v>498471</v>
      </c>
      <c r="U21" s="3"/>
      <c r="V21" s="20">
        <f>IF(T$12=0,0,T21/T$12)</f>
        <v>0.37428761077230127</v>
      </c>
      <c r="W21" s="3"/>
      <c r="X21" s="3">
        <f>+P21-T21</f>
        <v>-508684</v>
      </c>
      <c r="Y21" s="3"/>
      <c r="Z21" s="20">
        <f>IF(T21=0,0,X21/T21)</f>
        <v>-1.0204886543048644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67997.179999999993</v>
      </c>
      <c r="E22" s="3"/>
      <c r="F22" s="20">
        <f>IF(D$12=0,0,D22/D$12)</f>
        <v>0.21928661943337982</v>
      </c>
      <c r="G22" s="3"/>
      <c r="H22" s="3"/>
      <c r="I22" s="3"/>
      <c r="J22" s="20">
        <f>IF(H$12=0,0,H22/H$12)</f>
        <v>0</v>
      </c>
      <c r="K22" s="3"/>
      <c r="L22" s="3">
        <f>+D22-H22</f>
        <v>67997.179999999993</v>
      </c>
      <c r="M22" s="3"/>
      <c r="N22" s="20">
        <f>IF(H22=0,0,L22/H22)</f>
        <v>0</v>
      </c>
      <c r="O22" s="12"/>
      <c r="P22" s="3">
        <v>339169.29</v>
      </c>
      <c r="Q22" s="3"/>
      <c r="R22" s="20">
        <f>IF(P$12=0,0,P22/P$12)</f>
        <v>0.34131596261527242</v>
      </c>
      <c r="S22" s="3"/>
      <c r="T22" s="3"/>
      <c r="U22" s="3"/>
      <c r="V22" s="20">
        <f>IF(T$12=0,0,T22/T$12)</f>
        <v>0</v>
      </c>
      <c r="W22" s="3"/>
      <c r="X22" s="3">
        <f>+P22-T22</f>
        <v>339169.29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66497.98</v>
      </c>
      <c r="E23" s="3"/>
      <c r="F23" s="20">
        <f>IF(D$12=0,0,D23/D$12)</f>
        <v>0.21445179393246167</v>
      </c>
      <c r="G23" s="3"/>
      <c r="H23" s="3"/>
      <c r="I23" s="3"/>
      <c r="J23" s="20">
        <f>IF(H$12=0,0,H23/H$12)</f>
        <v>0</v>
      </c>
      <c r="K23" s="3"/>
      <c r="L23" s="3">
        <f>+D23-H23</f>
        <v>66497.98</v>
      </c>
      <c r="M23" s="3"/>
      <c r="N23" s="20">
        <f>IF(H23=0,0,L23/H23)</f>
        <v>0</v>
      </c>
      <c r="O23" s="12"/>
      <c r="P23" s="3">
        <v>90058.67</v>
      </c>
      <c r="Q23" s="3"/>
      <c r="R23" s="20">
        <f>IF(P$12=0,0,P23/P$12)</f>
        <v>9.062866995682646E-2</v>
      </c>
      <c r="S23" s="3"/>
      <c r="T23" s="3"/>
      <c r="U23" s="3"/>
      <c r="V23" s="20">
        <f>IF(T$12=0,0,T23/T$12)</f>
        <v>0</v>
      </c>
      <c r="W23" s="3"/>
      <c r="X23" s="3">
        <f>+P23-T23</f>
        <v>90058.67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8" t="s">
        <v>289</v>
      </c>
      <c r="C25" s="28"/>
      <c r="D25" s="21">
        <f>D12-D20</f>
        <v>185801.42000000004</v>
      </c>
      <c r="E25" s="15"/>
      <c r="F25" s="22">
        <f>IF(D$12=0,0,D25/D$12)</f>
        <v>0.5991978678780735</v>
      </c>
      <c r="G25" s="15"/>
      <c r="H25" s="21">
        <f>H12-H20</f>
        <v>310294</v>
      </c>
      <c r="I25" s="15"/>
      <c r="J25" s="22">
        <f>IF(H$12=0,0,H25/H$12)</f>
        <v>0.63151317797903739</v>
      </c>
      <c r="K25" s="16"/>
      <c r="L25" s="21">
        <f>+D25-H25</f>
        <v>-124492.57999999996</v>
      </c>
      <c r="M25" s="16"/>
      <c r="N25" s="22">
        <f>IF(H25=0,0,L25/H25)</f>
        <v>-0.40120846680889721</v>
      </c>
      <c r="O25" s="27"/>
      <c r="P25" s="21">
        <f>P12-P20</f>
        <v>574695.64000000013</v>
      </c>
      <c r="Q25" s="15"/>
      <c r="R25" s="22">
        <f>IF(P$12=0,0,P25/P$12)</f>
        <v>0.57833300761811346</v>
      </c>
      <c r="S25" s="15"/>
      <c r="T25" s="21">
        <f>T12-T20</f>
        <v>833315</v>
      </c>
      <c r="U25" s="15"/>
      <c r="V25" s="22">
        <f>IF(T$12=0,0,T25/T$12)</f>
        <v>0.62571238922769878</v>
      </c>
      <c r="W25" s="16"/>
      <c r="X25" s="21">
        <f>+P25-T25</f>
        <v>-258619.35999999987</v>
      </c>
      <c r="Y25" s="16"/>
      <c r="Z25" s="22">
        <f>IF(T25=0,0,X25/T25)</f>
        <v>-0.3103500597013133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7" t="s">
        <v>290</v>
      </c>
      <c r="C27" s="11"/>
      <c r="D27" s="23" cm="1">
        <f t="array" ref="D27">SUM(OSRRefD22x_0)</f>
        <v>251187.8</v>
      </c>
      <c r="E27" s="23"/>
      <c r="F27" s="29">
        <f t="shared" ref="F27:F58" si="4">IF(D$12=0,0,D27/D$12)</f>
        <v>0.81006482187802387</v>
      </c>
      <c r="G27" s="23"/>
      <c r="H27" s="23" cm="1">
        <f t="array" ref="H27">SUM(OSRRefH22x_0)</f>
        <v>261242.54424581071</v>
      </c>
      <c r="I27" s="23"/>
      <c r="J27" s="29">
        <f t="shared" ref="J27:J58" si="5">IF(H$12=0,0,H27/H$12)</f>
        <v>0.53168320798984581</v>
      </c>
      <c r="K27" s="5"/>
      <c r="L27" s="23">
        <f t="shared" ref="L27:L58" si="6">+D27-H27</f>
        <v>-10054.744245810725</v>
      </c>
      <c r="M27" s="5"/>
      <c r="N27" s="29">
        <f t="shared" ref="N27:N58" si="7">IF(H27=0,0,L27/H27)</f>
        <v>-3.848815771886651E-2</v>
      </c>
      <c r="O27" s="11"/>
      <c r="P27" s="23" cm="1">
        <f t="array" ref="P27">SUM(OSRRefP22x_0)</f>
        <v>1641735.9</v>
      </c>
      <c r="Q27" s="23"/>
      <c r="R27" s="29">
        <f t="shared" ref="R27:R58" si="8">IF(P$12=0,0,P27/P$12)</f>
        <v>1.6521267862091837</v>
      </c>
      <c r="S27" s="23"/>
      <c r="T27" s="23" cm="1">
        <f t="array" ref="T27">SUM(OSRRefT22x_0)</f>
        <v>1730960.3574312003</v>
      </c>
      <c r="U27" s="23"/>
      <c r="V27" s="29">
        <f t="shared" ref="V27:V58" si="9">IF(T$12=0,0,T27/T$12)</f>
        <v>1.2997286031173179</v>
      </c>
      <c r="W27" s="5"/>
      <c r="X27" s="23">
        <f t="shared" ref="X27:X58" si="10">+P27-T27</f>
        <v>-89224.457431200426</v>
      </c>
      <c r="Y27" s="5"/>
      <c r="Z27" s="29">
        <f t="shared" ref="Z27:Z58" si="11">IF(T27=0,0,X27/T27)</f>
        <v>-5.1546216554382754E-2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35984.92</v>
      </c>
      <c r="E28" s="2"/>
      <c r="F28" s="6">
        <f t="shared" si="4"/>
        <v>0.11604909876234012</v>
      </c>
      <c r="G28" s="2"/>
      <c r="H28" s="2">
        <f>SUM(OSRRefH22_0x_0)</f>
        <v>36582.080615041501</v>
      </c>
      <c r="I28" s="2"/>
      <c r="J28" s="6">
        <f t="shared" si="5"/>
        <v>7.4452184013516845E-2</v>
      </c>
      <c r="K28" s="2"/>
      <c r="L28" s="2">
        <f t="shared" si="6"/>
        <v>-597.16061504150275</v>
      </c>
      <c r="M28" s="2"/>
      <c r="N28" s="6">
        <f t="shared" si="7"/>
        <v>-1.6323855969962723E-2</v>
      </c>
      <c r="O28" s="14"/>
      <c r="P28" s="2">
        <f>SUM(OSRRefP22_0x_0)</f>
        <v>260562.13999999998</v>
      </c>
      <c r="Q28" s="2"/>
      <c r="R28" s="6">
        <f t="shared" si="8"/>
        <v>0.26221129169800539</v>
      </c>
      <c r="S28" s="2"/>
      <c r="T28" s="2">
        <f>SUM(OSRRefT22_0x_0)</f>
        <v>263675.9454369701</v>
      </c>
      <c r="U28" s="2"/>
      <c r="V28" s="6">
        <f t="shared" si="9"/>
        <v>0.19798672266938538</v>
      </c>
      <c r="W28" s="2"/>
      <c r="X28" s="2">
        <f t="shared" si="10"/>
        <v>-3113.8054369701131</v>
      </c>
      <c r="Y28" s="2"/>
      <c r="Z28" s="6">
        <f t="shared" si="11"/>
        <v>-1.1809213130192214E-2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8">
        <v>5541.22</v>
      </c>
      <c r="E29" s="3"/>
      <c r="F29" s="7">
        <f t="shared" si="4"/>
        <v>1.7870085220249327E-2</v>
      </c>
      <c r="G29" s="3"/>
      <c r="H29" s="8">
        <v>4599.6273588876902</v>
      </c>
      <c r="I29" s="3"/>
      <c r="J29" s="7">
        <f t="shared" si="5"/>
        <v>9.3612035390000826E-3</v>
      </c>
      <c r="K29" s="3"/>
      <c r="L29" s="8">
        <f t="shared" si="6"/>
        <v>941.59264111231005</v>
      </c>
      <c r="M29" s="3"/>
      <c r="N29" s="7">
        <f t="shared" si="7"/>
        <v>0.20471063580681276</v>
      </c>
      <c r="O29" s="12"/>
      <c r="P29" s="8">
        <v>37848.71</v>
      </c>
      <c r="Q29" s="3"/>
      <c r="R29" s="7">
        <f t="shared" si="8"/>
        <v>3.808826231701664E-2</v>
      </c>
      <c r="S29" s="3"/>
      <c r="T29" s="8">
        <v>34301.017849277298</v>
      </c>
      <c r="U29" s="3"/>
      <c r="V29" s="7">
        <f t="shared" si="9"/>
        <v>2.5755652822057971E-2</v>
      </c>
      <c r="W29" s="3"/>
      <c r="X29" s="8">
        <f t="shared" si="10"/>
        <v>3547.6921507227016</v>
      </c>
      <c r="Y29" s="3"/>
      <c r="Z29" s="7">
        <f t="shared" si="11"/>
        <v>0.10342818881677733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8">
        <v>2611.85</v>
      </c>
      <c r="E30" s="3"/>
      <c r="F30" s="7">
        <f t="shared" si="4"/>
        <v>8.4230516172446139E-3</v>
      </c>
      <c r="G30" s="3"/>
      <c r="H30" s="8">
        <v>4396.9125333615402</v>
      </c>
      <c r="I30" s="3"/>
      <c r="J30" s="7">
        <f t="shared" si="5"/>
        <v>8.948636477788827E-3</v>
      </c>
      <c r="K30" s="3"/>
      <c r="L30" s="8">
        <f t="shared" si="6"/>
        <v>-1785.0625333615403</v>
      </c>
      <c r="M30" s="3"/>
      <c r="N30" s="7">
        <f t="shared" si="7"/>
        <v>-0.40598090587824798</v>
      </c>
      <c r="O30" s="12"/>
      <c r="P30" s="8">
        <v>16899.25</v>
      </c>
      <c r="Q30" s="3"/>
      <c r="R30" s="7">
        <f t="shared" si="8"/>
        <v>1.7006208849940817E-2</v>
      </c>
      <c r="S30" s="3"/>
      <c r="T30" s="8">
        <v>26272.312487588501</v>
      </c>
      <c r="U30" s="3"/>
      <c r="V30" s="7">
        <f t="shared" si="9"/>
        <v>1.9727127697384189E-2</v>
      </c>
      <c r="W30" s="3"/>
      <c r="X30" s="8">
        <f t="shared" si="10"/>
        <v>-9373.0624875885005</v>
      </c>
      <c r="Y30" s="3"/>
      <c r="Z30" s="7">
        <f t="shared" si="11"/>
        <v>-0.35676579638798445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8">
        <v>14917.16</v>
      </c>
      <c r="E31" s="3"/>
      <c r="F31" s="7">
        <f t="shared" si="4"/>
        <v>4.8106900726571845E-2</v>
      </c>
      <c r="G31" s="3"/>
      <c r="H31" s="8">
        <v>16827.461538461499</v>
      </c>
      <c r="I31" s="3"/>
      <c r="J31" s="7">
        <f t="shared" si="5"/>
        <v>3.4247403151442958E-2</v>
      </c>
      <c r="K31" s="3"/>
      <c r="L31" s="8">
        <f t="shared" si="6"/>
        <v>-1910.3015384614991</v>
      </c>
      <c r="M31" s="3"/>
      <c r="N31" s="7">
        <f t="shared" si="7"/>
        <v>-0.11352285869709106</v>
      </c>
      <c r="O31" s="12"/>
      <c r="P31" s="8">
        <v>104799.66</v>
      </c>
      <c r="Q31" s="3"/>
      <c r="R31" s="7">
        <f t="shared" si="8"/>
        <v>0.10546295873265314</v>
      </c>
      <c r="S31" s="3"/>
      <c r="T31" s="8">
        <v>123318.334615385</v>
      </c>
      <c r="U31" s="3"/>
      <c r="V31" s="7">
        <f t="shared" si="9"/>
        <v>9.2596208861923018E-2</v>
      </c>
      <c r="W31" s="3"/>
      <c r="X31" s="8">
        <f t="shared" si="10"/>
        <v>-18518.674615384996</v>
      </c>
      <c r="Y31" s="3"/>
      <c r="Z31" s="7">
        <f t="shared" si="11"/>
        <v>-0.15016967811917431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8">
        <v>252.41</v>
      </c>
      <c r="E32" s="3"/>
      <c r="F32" s="7">
        <f t="shared" si="4"/>
        <v>8.1400633983908465E-4</v>
      </c>
      <c r="G32" s="3"/>
      <c r="H32" s="8">
        <v>243.62839894615399</v>
      </c>
      <c r="I32" s="3"/>
      <c r="J32" s="7">
        <f t="shared" si="5"/>
        <v>4.9583473887484272E-4</v>
      </c>
      <c r="K32" s="3"/>
      <c r="L32" s="8">
        <f t="shared" si="6"/>
        <v>8.7816010538460034</v>
      </c>
      <c r="M32" s="3"/>
      <c r="N32" s="7">
        <f t="shared" si="7"/>
        <v>3.6045063267796155E-2</v>
      </c>
      <c r="O32" s="12"/>
      <c r="P32" s="8">
        <v>1554.06</v>
      </c>
      <c r="Q32" s="3"/>
      <c r="R32" s="7">
        <f t="shared" si="8"/>
        <v>1.5638959672967159E-3</v>
      </c>
      <c r="S32" s="3"/>
      <c r="T32" s="8">
        <v>1455.72180010385</v>
      </c>
      <c r="U32" s="3"/>
      <c r="V32" s="7">
        <f t="shared" si="9"/>
        <v>1.0930598460292043E-3</v>
      </c>
      <c r="W32" s="3"/>
      <c r="X32" s="8">
        <f t="shared" si="10"/>
        <v>98.338199896149945</v>
      </c>
      <c r="Y32" s="3"/>
      <c r="Z32" s="7">
        <f t="shared" si="11"/>
        <v>6.7552879876590824E-2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8">
        <v>3702.87</v>
      </c>
      <c r="E33" s="3"/>
      <c r="F33" s="7">
        <f t="shared" si="4"/>
        <v>1.1941522346974966E-2</v>
      </c>
      <c r="G33" s="3"/>
      <c r="H33" s="8">
        <v>3199.1709584615401</v>
      </c>
      <c r="I33" s="3"/>
      <c r="J33" s="7">
        <f t="shared" si="5"/>
        <v>6.5109819038598558E-3</v>
      </c>
      <c r="K33" s="3"/>
      <c r="L33" s="8">
        <f t="shared" si="6"/>
        <v>503.69904153845982</v>
      </c>
      <c r="M33" s="3"/>
      <c r="N33" s="7">
        <f t="shared" si="7"/>
        <v>0.15744674107090711</v>
      </c>
      <c r="O33" s="12"/>
      <c r="P33" s="8">
        <v>28457.49</v>
      </c>
      <c r="Q33" s="3"/>
      <c r="R33" s="7">
        <f t="shared" si="8"/>
        <v>2.8637603342462081E-2</v>
      </c>
      <c r="S33" s="3"/>
      <c r="T33" s="8">
        <v>25051.958686538499</v>
      </c>
      <c r="U33" s="3"/>
      <c r="V33" s="7">
        <f t="shared" si="9"/>
        <v>1.8810798947081962E-2</v>
      </c>
      <c r="W33" s="3"/>
      <c r="X33" s="8">
        <f t="shared" si="10"/>
        <v>3405.5313134615026</v>
      </c>
      <c r="Y33" s="3"/>
      <c r="Z33" s="7">
        <f t="shared" si="11"/>
        <v>0.13593872463518958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8"/>
      <c r="E34" s="3"/>
      <c r="F34" s="7">
        <f t="shared" si="4"/>
        <v>0</v>
      </c>
      <c r="G34" s="3"/>
      <c r="H34" s="8">
        <v>0</v>
      </c>
      <c r="I34" s="3"/>
      <c r="J34" s="7">
        <f t="shared" si="5"/>
        <v>0</v>
      </c>
      <c r="K34" s="3"/>
      <c r="L34" s="8">
        <f t="shared" si="6"/>
        <v>0</v>
      </c>
      <c r="M34" s="3"/>
      <c r="N34" s="7">
        <f t="shared" si="7"/>
        <v>0</v>
      </c>
      <c r="O34" s="12"/>
      <c r="P34" s="8"/>
      <c r="Q34" s="3"/>
      <c r="R34" s="7">
        <f t="shared" si="8"/>
        <v>0</v>
      </c>
      <c r="S34" s="3"/>
      <c r="T34" s="8">
        <v>0</v>
      </c>
      <c r="U34" s="3"/>
      <c r="V34" s="7">
        <f t="shared" si="9"/>
        <v>0</v>
      </c>
      <c r="W34" s="3"/>
      <c r="X34" s="8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8">
        <v>250.77</v>
      </c>
      <c r="E35" s="3"/>
      <c r="F35" s="7">
        <f t="shared" si="4"/>
        <v>8.0871744321321366E-4</v>
      </c>
      <c r="G35" s="3"/>
      <c r="H35" s="8"/>
      <c r="I35" s="3"/>
      <c r="J35" s="7">
        <f t="shared" si="5"/>
        <v>0</v>
      </c>
      <c r="K35" s="3"/>
      <c r="L35" s="8">
        <f t="shared" si="6"/>
        <v>250.77</v>
      </c>
      <c r="M35" s="3"/>
      <c r="N35" s="7">
        <f t="shared" si="7"/>
        <v>0</v>
      </c>
      <c r="O35" s="12"/>
      <c r="P35" s="8">
        <v>462.43</v>
      </c>
      <c r="Q35" s="3"/>
      <c r="R35" s="7">
        <f t="shared" si="8"/>
        <v>4.6535681515322465E-4</v>
      </c>
      <c r="S35" s="3"/>
      <c r="T35" s="8"/>
      <c r="U35" s="3"/>
      <c r="V35" s="7">
        <f t="shared" si="9"/>
        <v>0</v>
      </c>
      <c r="W35" s="3"/>
      <c r="X35" s="8">
        <f t="shared" si="10"/>
        <v>462.43</v>
      </c>
      <c r="Y35" s="3"/>
      <c r="Z35" s="7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8">
        <v>3658.02</v>
      </c>
      <c r="E36" s="3"/>
      <c r="F36" s="7">
        <f t="shared" si="4"/>
        <v>1.1796883924005262E-2</v>
      </c>
      <c r="G36" s="3"/>
      <c r="H36" s="8">
        <v>2698.4747184615399</v>
      </c>
      <c r="I36" s="3"/>
      <c r="J36" s="7">
        <f t="shared" si="5"/>
        <v>5.4919603509952985E-3</v>
      </c>
      <c r="K36" s="3"/>
      <c r="L36" s="8">
        <f t="shared" si="6"/>
        <v>959.54528153846013</v>
      </c>
      <c r="M36" s="3"/>
      <c r="N36" s="7">
        <f t="shared" si="7"/>
        <v>0.35558801977048654</v>
      </c>
      <c r="O36" s="12"/>
      <c r="P36" s="8">
        <v>30149.16</v>
      </c>
      <c r="Q36" s="3"/>
      <c r="R36" s="7">
        <f t="shared" si="8"/>
        <v>3.0339980271922223E-2</v>
      </c>
      <c r="S36" s="3"/>
      <c r="T36" s="8">
        <v>22051.102746538501</v>
      </c>
      <c r="U36" s="3"/>
      <c r="V36" s="7">
        <f t="shared" si="9"/>
        <v>1.6557542087496414E-2</v>
      </c>
      <c r="W36" s="3"/>
      <c r="X36" s="8">
        <f t="shared" si="10"/>
        <v>8098.0572534614985</v>
      </c>
      <c r="Y36" s="3"/>
      <c r="Z36" s="7">
        <f t="shared" si="11"/>
        <v>0.36724046622714596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8">
        <v>2633.58</v>
      </c>
      <c r="E37" s="3"/>
      <c r="F37" s="7">
        <f t="shared" si="4"/>
        <v>8.4931294975374057E-3</v>
      </c>
      <c r="G37" s="3"/>
      <c r="H37" s="8">
        <v>2655.8051084615399</v>
      </c>
      <c r="I37" s="3"/>
      <c r="J37" s="7">
        <f t="shared" si="5"/>
        <v>5.4051187716730228E-3</v>
      </c>
      <c r="K37" s="3"/>
      <c r="L37" s="8">
        <f t="shared" si="6"/>
        <v>-22.225108461540003</v>
      </c>
      <c r="M37" s="3"/>
      <c r="N37" s="7">
        <f t="shared" si="7"/>
        <v>-8.3685012844992267E-3</v>
      </c>
      <c r="O37" s="12"/>
      <c r="P37" s="8">
        <v>26914.54</v>
      </c>
      <c r="Q37" s="3"/>
      <c r="R37" s="7">
        <f t="shared" si="8"/>
        <v>2.7084887692654179E-2</v>
      </c>
      <c r="S37" s="3"/>
      <c r="T37" s="8">
        <v>14921.4972515385</v>
      </c>
      <c r="U37" s="3"/>
      <c r="V37" s="7">
        <f t="shared" si="9"/>
        <v>1.1204125326094808E-2</v>
      </c>
      <c r="W37" s="3"/>
      <c r="X37" s="8">
        <f t="shared" si="10"/>
        <v>11993.042748461501</v>
      </c>
      <c r="Y37" s="3"/>
      <c r="Z37" s="7">
        <f t="shared" si="11"/>
        <v>0.8037425833540226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8">
        <v>2417.04</v>
      </c>
      <c r="E38" s="3"/>
      <c r="F38" s="7">
        <f t="shared" si="4"/>
        <v>7.7948016467044136E-3</v>
      </c>
      <c r="G38" s="3"/>
      <c r="H38" s="8">
        <v>1961</v>
      </c>
      <c r="I38" s="3"/>
      <c r="J38" s="7">
        <f t="shared" si="5"/>
        <v>3.9910450798819582E-3</v>
      </c>
      <c r="K38" s="3"/>
      <c r="L38" s="8">
        <f t="shared" si="6"/>
        <v>456.03999999999996</v>
      </c>
      <c r="M38" s="3"/>
      <c r="N38" s="7">
        <f t="shared" si="7"/>
        <v>0.23255481896991329</v>
      </c>
      <c r="O38" s="12"/>
      <c r="P38" s="8">
        <v>13476.84</v>
      </c>
      <c r="Q38" s="3"/>
      <c r="R38" s="7">
        <f t="shared" si="8"/>
        <v>1.3562137708906396E-2</v>
      </c>
      <c r="S38" s="3"/>
      <c r="T38" s="8">
        <v>16304</v>
      </c>
      <c r="U38" s="3"/>
      <c r="V38" s="7">
        <f t="shared" si="9"/>
        <v>1.2242207081317869E-2</v>
      </c>
      <c r="W38" s="3"/>
      <c r="X38" s="8">
        <f t="shared" si="10"/>
        <v>-2827.16</v>
      </c>
      <c r="Y38" s="3"/>
      <c r="Z38" s="7">
        <f t="shared" si="11"/>
        <v>-0.17340284592737978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107262.54999999999</v>
      </c>
      <c r="E39" s="2"/>
      <c r="F39" s="6">
        <f t="shared" si="4"/>
        <v>0.3459149626690971</v>
      </c>
      <c r="G39" s="2"/>
      <c r="H39" s="2">
        <f>SUM(OSRRefH22_1x_0)</f>
        <v>110778.4636307692</v>
      </c>
      <c r="I39" s="2"/>
      <c r="J39" s="6">
        <f t="shared" si="5"/>
        <v>0.22545733923022121</v>
      </c>
      <c r="K39" s="2"/>
      <c r="L39" s="2">
        <f t="shared" si="6"/>
        <v>-3515.9136307692097</v>
      </c>
      <c r="M39" s="2"/>
      <c r="N39" s="6">
        <f t="shared" si="7"/>
        <v>-3.1738241491486525E-2</v>
      </c>
      <c r="O39" s="14"/>
      <c r="P39" s="2">
        <f>SUM(OSRRefP22_1x_0)</f>
        <v>595328.73</v>
      </c>
      <c r="Q39" s="2"/>
      <c r="R39" s="6">
        <f t="shared" si="8"/>
        <v>0.59909668871399779</v>
      </c>
      <c r="S39" s="2"/>
      <c r="T39" s="2">
        <f>SUM(OSRRefT22_1x_0)</f>
        <v>656861.16199423035</v>
      </c>
      <c r="U39" s="2"/>
      <c r="V39" s="6">
        <f t="shared" si="9"/>
        <v>0.49321825127627889</v>
      </c>
      <c r="W39" s="2"/>
      <c r="X39" s="2">
        <f t="shared" si="10"/>
        <v>-61532.43199423037</v>
      </c>
      <c r="Y39" s="2"/>
      <c r="Z39" s="6">
        <f t="shared" si="11"/>
        <v>-9.3676465521904076E-2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8">
        <v>10936.46</v>
      </c>
      <c r="E40" s="3"/>
      <c r="F40" s="7">
        <f t="shared" si="4"/>
        <v>3.5269394142056792E-2</v>
      </c>
      <c r="G40" s="3"/>
      <c r="H40" s="8">
        <v>10268.307692307701</v>
      </c>
      <c r="I40" s="3"/>
      <c r="J40" s="7">
        <f t="shared" si="5"/>
        <v>2.0898153439112041E-2</v>
      </c>
      <c r="K40" s="3"/>
      <c r="L40" s="8">
        <f t="shared" si="6"/>
        <v>668.15230769229856</v>
      </c>
      <c r="M40" s="3"/>
      <c r="N40" s="7">
        <f t="shared" si="7"/>
        <v>6.5069369531342694E-2</v>
      </c>
      <c r="O40" s="12"/>
      <c r="P40" s="8">
        <v>89196.29</v>
      </c>
      <c r="Q40" s="3"/>
      <c r="R40" s="7">
        <f t="shared" si="8"/>
        <v>8.9760831775367991E-2</v>
      </c>
      <c r="S40" s="3"/>
      <c r="T40" s="8">
        <v>89847.692307692298</v>
      </c>
      <c r="U40" s="3"/>
      <c r="V40" s="7">
        <f t="shared" si="9"/>
        <v>6.7464061273877551E-2</v>
      </c>
      <c r="W40" s="3"/>
      <c r="X40" s="8">
        <f t="shared" si="10"/>
        <v>-651.40230769230402</v>
      </c>
      <c r="Y40" s="3"/>
      <c r="Z40" s="7">
        <f t="shared" si="11"/>
        <v>-7.2500727727264546E-3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8">
        <v>25467.81</v>
      </c>
      <c r="E41" s="3"/>
      <c r="F41" s="7">
        <f t="shared" si="4"/>
        <v>8.2132081937392493E-2</v>
      </c>
      <c r="G41" s="3"/>
      <c r="H41" s="8">
        <v>23952.633038461499</v>
      </c>
      <c r="I41" s="3"/>
      <c r="J41" s="7">
        <f t="shared" si="5"/>
        <v>4.8748617153681693E-2</v>
      </c>
      <c r="K41" s="3"/>
      <c r="L41" s="8">
        <f t="shared" si="6"/>
        <v>1515.1769615385019</v>
      </c>
      <c r="M41" s="3"/>
      <c r="N41" s="7">
        <f t="shared" si="7"/>
        <v>6.3257219325555336E-2</v>
      </c>
      <c r="O41" s="12"/>
      <c r="P41" s="8">
        <v>191273.44</v>
      </c>
      <c r="Q41" s="3"/>
      <c r="R41" s="7">
        <f t="shared" si="8"/>
        <v>0.1924840491789058</v>
      </c>
      <c r="S41" s="3"/>
      <c r="T41" s="8">
        <v>177100.09908653799</v>
      </c>
      <c r="U41" s="3"/>
      <c r="V41" s="7">
        <f t="shared" si="9"/>
        <v>0.13297939690501176</v>
      </c>
      <c r="W41" s="3"/>
      <c r="X41" s="8">
        <f t="shared" si="10"/>
        <v>14173.340913462016</v>
      </c>
      <c r="Y41" s="3"/>
      <c r="Z41" s="7">
        <f t="shared" si="11"/>
        <v>8.0030112837691708E-2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8">
        <v>22366.26</v>
      </c>
      <c r="E43" s="3"/>
      <c r="F43" s="7">
        <f t="shared" si="4"/>
        <v>7.2129778687410662E-2</v>
      </c>
      <c r="G43" s="3"/>
      <c r="H43" s="8">
        <v>20689.174200000001</v>
      </c>
      <c r="I43" s="3"/>
      <c r="J43" s="7">
        <f t="shared" si="5"/>
        <v>4.2106795970285951E-2</v>
      </c>
      <c r="K43" s="3"/>
      <c r="L43" s="8">
        <f t="shared" si="6"/>
        <v>1677.0857999999971</v>
      </c>
      <c r="M43" s="3"/>
      <c r="N43" s="7">
        <f t="shared" si="7"/>
        <v>8.1061031425797417E-2</v>
      </c>
      <c r="O43" s="12"/>
      <c r="P43" s="8">
        <v>94891.49</v>
      </c>
      <c r="Q43" s="3"/>
      <c r="R43" s="7">
        <f t="shared" si="8"/>
        <v>9.5492077874584413E-2</v>
      </c>
      <c r="S43" s="3"/>
      <c r="T43" s="8">
        <v>137051.23665000001</v>
      </c>
      <c r="U43" s="3"/>
      <c r="V43" s="7">
        <f t="shared" si="9"/>
        <v>0.10290785204980381</v>
      </c>
      <c r="W43" s="3"/>
      <c r="X43" s="8">
        <f t="shared" si="10"/>
        <v>-42159.746650000001</v>
      </c>
      <c r="Y43" s="3"/>
      <c r="Z43" s="7">
        <f t="shared" si="11"/>
        <v>-0.30762033003516132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8">
        <v>19547.66</v>
      </c>
      <c r="E44" s="3"/>
      <c r="F44" s="7">
        <f t="shared" si="4"/>
        <v>6.3039971352239932E-2</v>
      </c>
      <c r="G44" s="3"/>
      <c r="H44" s="8">
        <v>13448.070299999999</v>
      </c>
      <c r="I44" s="3"/>
      <c r="J44" s="7">
        <f t="shared" si="5"/>
        <v>2.73696352905261E-2</v>
      </c>
      <c r="K44" s="3"/>
      <c r="L44" s="8">
        <f t="shared" si="6"/>
        <v>6099.5897000000004</v>
      </c>
      <c r="M44" s="3"/>
      <c r="N44" s="7">
        <f t="shared" si="7"/>
        <v>0.45356616703587582</v>
      </c>
      <c r="O44" s="12"/>
      <c r="P44" s="8">
        <v>99355.17</v>
      </c>
      <c r="Q44" s="3"/>
      <c r="R44" s="7">
        <f t="shared" si="8"/>
        <v>9.9984009428902121E-2</v>
      </c>
      <c r="S44" s="3"/>
      <c r="T44" s="8">
        <v>78385.583599999998</v>
      </c>
      <c r="U44" s="3"/>
      <c r="V44" s="7">
        <f t="shared" si="9"/>
        <v>5.8857491819256244E-2</v>
      </c>
      <c r="W44" s="3"/>
      <c r="X44" s="8">
        <f t="shared" si="10"/>
        <v>20969.5864</v>
      </c>
      <c r="Y44" s="3"/>
      <c r="Z44" s="7">
        <f t="shared" si="11"/>
        <v>0.26751840628000378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8">
        <v>641</v>
      </c>
      <c r="E45" s="3"/>
      <c r="F45" s="7">
        <f t="shared" si="4"/>
        <v>2.0671845958434819E-3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641</v>
      </c>
      <c r="M45" s="3"/>
      <c r="N45" s="7">
        <f t="shared" si="7"/>
        <v>0</v>
      </c>
      <c r="O45" s="12"/>
      <c r="P45" s="8">
        <v>641</v>
      </c>
      <c r="Q45" s="3"/>
      <c r="R45" s="7">
        <f t="shared" si="8"/>
        <v>6.4505702163185135E-4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641</v>
      </c>
      <c r="Y45" s="3"/>
      <c r="Z45" s="7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8">
        <v>26016.959999999999</v>
      </c>
      <c r="E46" s="3"/>
      <c r="F46" s="7">
        <f t="shared" si="4"/>
        <v>8.390305607281752E-2</v>
      </c>
      <c r="G46" s="3"/>
      <c r="H46" s="8">
        <v>1415.6956</v>
      </c>
      <c r="I46" s="3"/>
      <c r="J46" s="7">
        <f t="shared" si="5"/>
        <v>2.8812365930599368E-3</v>
      </c>
      <c r="K46" s="3"/>
      <c r="L46" s="8">
        <f t="shared" si="6"/>
        <v>24601.2644</v>
      </c>
      <c r="M46" s="3"/>
      <c r="N46" s="7">
        <f t="shared" si="7"/>
        <v>17.37750996753822</v>
      </c>
      <c r="O46" s="12"/>
      <c r="P46" s="8">
        <v>117684.94</v>
      </c>
      <c r="Q46" s="3"/>
      <c r="R46" s="7">
        <f t="shared" si="8"/>
        <v>0.11842979233591751</v>
      </c>
      <c r="S46" s="3"/>
      <c r="T46" s="8">
        <v>14161.6512</v>
      </c>
      <c r="U46" s="3"/>
      <c r="V46" s="7">
        <f t="shared" si="9"/>
        <v>1.0633578668044265E-2</v>
      </c>
      <c r="W46" s="3"/>
      <c r="X46" s="8">
        <f t="shared" si="10"/>
        <v>103523.28880000001</v>
      </c>
      <c r="Y46" s="3"/>
      <c r="Z46" s="7">
        <f t="shared" si="11"/>
        <v>7.3101142894975419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8">
        <v>2286.4</v>
      </c>
      <c r="E47" s="3"/>
      <c r="F47" s="7">
        <f t="shared" si="4"/>
        <v>7.3734958813362513E-3</v>
      </c>
      <c r="G47" s="3"/>
      <c r="H47" s="8">
        <v>41004.582799999996</v>
      </c>
      <c r="I47" s="3"/>
      <c r="J47" s="7">
        <f t="shared" si="5"/>
        <v>8.3452900783555509E-2</v>
      </c>
      <c r="K47" s="3"/>
      <c r="L47" s="8">
        <f t="shared" si="6"/>
        <v>-38718.182799999995</v>
      </c>
      <c r="M47" s="3"/>
      <c r="N47" s="7">
        <f t="shared" si="7"/>
        <v>-0.94424037890711077</v>
      </c>
      <c r="O47" s="12"/>
      <c r="P47" s="8">
        <v>2286.4</v>
      </c>
      <c r="Q47" s="3"/>
      <c r="R47" s="7">
        <f t="shared" si="8"/>
        <v>2.3008710986880889E-3</v>
      </c>
      <c r="S47" s="3"/>
      <c r="T47" s="8">
        <v>160314.89915000001</v>
      </c>
      <c r="U47" s="3"/>
      <c r="V47" s="7">
        <f t="shared" si="9"/>
        <v>0.12037587056028522</v>
      </c>
      <c r="W47" s="3"/>
      <c r="X47" s="8">
        <f t="shared" si="10"/>
        <v>-158028.49915000002</v>
      </c>
      <c r="Y47" s="3"/>
      <c r="Z47" s="7">
        <f t="shared" si="11"/>
        <v>-0.98573806918681528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8"/>
      <c r="E48" s="3"/>
      <c r="F48" s="7">
        <f t="shared" si="4"/>
        <v>0</v>
      </c>
      <c r="G48" s="3"/>
      <c r="H48" s="8">
        <v>0</v>
      </c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/>
      <c r="Q48" s="3"/>
      <c r="R48" s="7">
        <f t="shared" si="8"/>
        <v>0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8"/>
      <c r="E49" s="3"/>
      <c r="F49" s="7">
        <f t="shared" si="4"/>
        <v>0</v>
      </c>
      <c r="G49" s="3"/>
      <c r="H49" s="8">
        <v>0</v>
      </c>
      <c r="I49" s="3"/>
      <c r="J49" s="7">
        <f t="shared" si="5"/>
        <v>0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/>
      <c r="Q49" s="3"/>
      <c r="R49" s="7">
        <f t="shared" si="8"/>
        <v>0</v>
      </c>
      <c r="S49" s="3"/>
      <c r="T49" s="8">
        <v>0</v>
      </c>
      <c r="U49" s="3"/>
      <c r="V49" s="7">
        <f t="shared" si="9"/>
        <v>0</v>
      </c>
      <c r="W49" s="3"/>
      <c r="X49" s="8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678.69</v>
      </c>
      <c r="E50" s="2"/>
      <c r="F50" s="6">
        <f t="shared" si="4"/>
        <v>2.1887324701295053E-3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678.69</v>
      </c>
      <c r="M50" s="2"/>
      <c r="N50" s="6">
        <f t="shared" si="7"/>
        <v>0</v>
      </c>
      <c r="O50" s="14"/>
      <c r="P50" s="2">
        <f>SUM(OSRRefP22_2x_0)</f>
        <v>1945.2</v>
      </c>
      <c r="Q50" s="2"/>
      <c r="R50" s="6">
        <f t="shared" si="8"/>
        <v>1.9575115732890442E-3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1945.2</v>
      </c>
      <c r="Y50" s="2"/>
      <c r="Z50" s="6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8">
        <v>678.69</v>
      </c>
      <c r="E51" s="3"/>
      <c r="F51" s="7">
        <f t="shared" si="4"/>
        <v>2.1887324701295053E-3</v>
      </c>
      <c r="G51" s="3"/>
      <c r="H51" s="8"/>
      <c r="I51" s="3"/>
      <c r="J51" s="7">
        <f t="shared" si="5"/>
        <v>0</v>
      </c>
      <c r="K51" s="3"/>
      <c r="L51" s="8">
        <f t="shared" si="6"/>
        <v>678.69</v>
      </c>
      <c r="M51" s="3"/>
      <c r="N51" s="7">
        <f t="shared" si="7"/>
        <v>0</v>
      </c>
      <c r="O51" s="12"/>
      <c r="P51" s="8">
        <v>1945.2</v>
      </c>
      <c r="Q51" s="3"/>
      <c r="R51" s="7">
        <f t="shared" si="8"/>
        <v>1.9575115732890442E-3</v>
      </c>
      <c r="S51" s="3"/>
      <c r="T51" s="8">
        <v>0</v>
      </c>
      <c r="U51" s="3"/>
      <c r="V51" s="7">
        <f t="shared" si="9"/>
        <v>0</v>
      </c>
      <c r="W51" s="3"/>
      <c r="X51" s="8">
        <f t="shared" si="10"/>
        <v>1945.2</v>
      </c>
      <c r="Y51" s="3"/>
      <c r="Z51" s="7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0.35</v>
      </c>
      <c r="E52" s="2"/>
      <c r="F52" s="6">
        <f t="shared" si="4"/>
        <v>1.128727938448079E-6</v>
      </c>
      <c r="G52" s="2"/>
      <c r="H52" s="2">
        <f>SUM(OSRRefH22_3x_0)</f>
        <v>10</v>
      </c>
      <c r="I52" s="2"/>
      <c r="J52" s="6">
        <f t="shared" si="5"/>
        <v>2.0352091177368475E-5</v>
      </c>
      <c r="K52" s="2"/>
      <c r="L52" s="2">
        <f t="shared" si="6"/>
        <v>-9.65</v>
      </c>
      <c r="M52" s="2"/>
      <c r="N52" s="6">
        <f t="shared" si="7"/>
        <v>-0.96500000000000008</v>
      </c>
      <c r="O52" s="14"/>
      <c r="P52" s="2">
        <f>SUM(OSRRefP22_3x_0)</f>
        <v>-72.28</v>
      </c>
      <c r="Q52" s="2"/>
      <c r="R52" s="6">
        <f t="shared" si="8"/>
        <v>-7.2737475075741365E-5</v>
      </c>
      <c r="S52" s="2"/>
      <c r="T52" s="2">
        <f>SUM(OSRRefT22_3x_0)</f>
        <v>60</v>
      </c>
      <c r="U52" s="2"/>
      <c r="V52" s="6">
        <f t="shared" si="9"/>
        <v>4.5052283174624152E-5</v>
      </c>
      <c r="W52" s="2"/>
      <c r="X52" s="2">
        <f t="shared" si="10"/>
        <v>-132.28</v>
      </c>
      <c r="Y52" s="2"/>
      <c r="Z52" s="6">
        <f t="shared" si="11"/>
        <v>-2.2046666666666668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8">
        <v>0.35</v>
      </c>
      <c r="E53" s="3"/>
      <c r="F53" s="7">
        <f t="shared" si="4"/>
        <v>1.128727938448079E-6</v>
      </c>
      <c r="G53" s="3"/>
      <c r="H53" s="8">
        <v>10</v>
      </c>
      <c r="I53" s="3"/>
      <c r="J53" s="7">
        <f t="shared" si="5"/>
        <v>2.0352091177368475E-5</v>
      </c>
      <c r="K53" s="3"/>
      <c r="L53" s="8">
        <f t="shared" si="6"/>
        <v>-9.65</v>
      </c>
      <c r="M53" s="3"/>
      <c r="N53" s="7">
        <f t="shared" si="7"/>
        <v>-0.96500000000000008</v>
      </c>
      <c r="O53" s="12"/>
      <c r="P53" s="8">
        <v>-72.28</v>
      </c>
      <c r="Q53" s="3"/>
      <c r="R53" s="7">
        <f t="shared" si="8"/>
        <v>-7.2737475075741365E-5</v>
      </c>
      <c r="S53" s="3"/>
      <c r="T53" s="8">
        <v>60</v>
      </c>
      <c r="U53" s="3"/>
      <c r="V53" s="7">
        <f t="shared" si="9"/>
        <v>4.5052283174624152E-5</v>
      </c>
      <c r="W53" s="3"/>
      <c r="X53" s="8">
        <f t="shared" si="10"/>
        <v>-132.28</v>
      </c>
      <c r="Y53" s="3"/>
      <c r="Z53" s="7">
        <f t="shared" si="11"/>
        <v>-2.2046666666666668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10178.36</v>
      </c>
      <c r="E54" s="2"/>
      <c r="F54" s="6">
        <f t="shared" si="4"/>
        <v>3.2824569427378256E-2</v>
      </c>
      <c r="G54" s="2"/>
      <c r="H54" s="2">
        <f>SUM(OSRRefH22_4x_0)</f>
        <v>22231</v>
      </c>
      <c r="I54" s="2"/>
      <c r="J54" s="6">
        <f t="shared" si="5"/>
        <v>4.5244733896407853E-2</v>
      </c>
      <c r="K54" s="2"/>
      <c r="L54" s="2">
        <f t="shared" si="6"/>
        <v>-12052.64</v>
      </c>
      <c r="M54" s="2"/>
      <c r="N54" s="6">
        <f t="shared" si="7"/>
        <v>-0.54215464891367904</v>
      </c>
      <c r="O54" s="14"/>
      <c r="P54" s="2">
        <f>SUM(OSRRefP22_4x_0)</f>
        <v>37413.96</v>
      </c>
      <c r="Q54" s="2"/>
      <c r="R54" s="6">
        <f t="shared" si="8"/>
        <v>3.7650760694310795E-2</v>
      </c>
      <c r="S54" s="2"/>
      <c r="T54" s="2">
        <f>SUM(OSRRefT22_4x_0)</f>
        <v>64160.25</v>
      </c>
      <c r="U54" s="2"/>
      <c r="V54" s="6">
        <f t="shared" si="9"/>
        <v>4.8176095859244657E-2</v>
      </c>
      <c r="W54" s="2"/>
      <c r="X54" s="2">
        <f t="shared" si="10"/>
        <v>-26746.29</v>
      </c>
      <c r="Y54" s="2"/>
      <c r="Z54" s="6">
        <f t="shared" si="11"/>
        <v>-0.41686698539983869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8">
        <v>10178.36</v>
      </c>
      <c r="E55" s="3"/>
      <c r="F55" s="7">
        <f t="shared" si="4"/>
        <v>3.2824569427378256E-2</v>
      </c>
      <c r="G55" s="3"/>
      <c r="H55" s="8">
        <v>22231</v>
      </c>
      <c r="I55" s="3"/>
      <c r="J55" s="7">
        <f t="shared" si="5"/>
        <v>4.5244733896407853E-2</v>
      </c>
      <c r="K55" s="3"/>
      <c r="L55" s="8">
        <f t="shared" si="6"/>
        <v>-12052.64</v>
      </c>
      <c r="M55" s="3"/>
      <c r="N55" s="7">
        <f t="shared" si="7"/>
        <v>-0.54215464891367904</v>
      </c>
      <c r="O55" s="12"/>
      <c r="P55" s="8">
        <v>37413.96</v>
      </c>
      <c r="Q55" s="3"/>
      <c r="R55" s="7">
        <f t="shared" si="8"/>
        <v>3.7650760694310795E-2</v>
      </c>
      <c r="S55" s="3"/>
      <c r="T55" s="8">
        <v>64160.25</v>
      </c>
      <c r="U55" s="3"/>
      <c r="V55" s="7">
        <f t="shared" si="9"/>
        <v>4.8176095859244657E-2</v>
      </c>
      <c r="W55" s="3"/>
      <c r="X55" s="8">
        <f t="shared" si="10"/>
        <v>-26746.29</v>
      </c>
      <c r="Y55" s="3"/>
      <c r="Z55" s="7">
        <f t="shared" si="11"/>
        <v>-0.41686698539983869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39106.79</v>
      </c>
      <c r="E56" s="2"/>
      <c r="F56" s="6">
        <f t="shared" si="4"/>
        <v>0.1261169327314913</v>
      </c>
      <c r="G56" s="2"/>
      <c r="H56" s="2">
        <f>SUM(OSRRefH22_5x_0)</f>
        <v>39107</v>
      </c>
      <c r="I56" s="2"/>
      <c r="J56" s="6">
        <f t="shared" si="5"/>
        <v>7.9590922967334887E-2</v>
      </c>
      <c r="K56" s="2"/>
      <c r="L56" s="2">
        <f t="shared" si="6"/>
        <v>-0.20999999999912689</v>
      </c>
      <c r="M56" s="2"/>
      <c r="N56" s="6">
        <f t="shared" si="7"/>
        <v>-5.3698826296859099E-6</v>
      </c>
      <c r="O56" s="14"/>
      <c r="P56" s="2">
        <f>SUM(OSRRefP22_5x_0)</f>
        <v>315374.82</v>
      </c>
      <c r="Q56" s="2"/>
      <c r="R56" s="6">
        <f t="shared" si="8"/>
        <v>0.31737089249123435</v>
      </c>
      <c r="S56" s="2"/>
      <c r="T56" s="2">
        <f>SUM(OSRRefT22_5x_0)</f>
        <v>315374</v>
      </c>
      <c r="U56" s="2"/>
      <c r="V56" s="6">
        <f t="shared" si="9"/>
        <v>0.23680531256523196</v>
      </c>
      <c r="W56" s="2"/>
      <c r="X56" s="2">
        <f t="shared" si="10"/>
        <v>0.82000000000698492</v>
      </c>
      <c r="Y56" s="2"/>
      <c r="Z56" s="6">
        <f t="shared" si="11"/>
        <v>2.6000875151629014E-6</v>
      </c>
    </row>
    <row r="57" spans="1:26" s="70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8">
        <v>28619.91</v>
      </c>
      <c r="E57" s="3"/>
      <c r="F57" s="7">
        <f t="shared" si="4"/>
        <v>9.2297405751055883E-2</v>
      </c>
      <c r="G57" s="3"/>
      <c r="H57" s="8"/>
      <c r="I57" s="3"/>
      <c r="J57" s="7">
        <f t="shared" si="5"/>
        <v>0</v>
      </c>
      <c r="K57" s="3"/>
      <c r="L57" s="8">
        <f t="shared" si="6"/>
        <v>28619.91</v>
      </c>
      <c r="M57" s="3"/>
      <c r="N57" s="7">
        <f t="shared" si="7"/>
        <v>0</v>
      </c>
      <c r="O57" s="12"/>
      <c r="P57" s="8">
        <v>229047.42</v>
      </c>
      <c r="Q57" s="3"/>
      <c r="R57" s="7">
        <f t="shared" si="8"/>
        <v>0.23049710851428976</v>
      </c>
      <c r="S57" s="3"/>
      <c r="T57" s="8"/>
      <c r="U57" s="3"/>
      <c r="V57" s="7">
        <f t="shared" si="9"/>
        <v>0</v>
      </c>
      <c r="W57" s="3"/>
      <c r="X57" s="8">
        <f t="shared" si="10"/>
        <v>229047.42</v>
      </c>
      <c r="Y57" s="3"/>
      <c r="Z57" s="7">
        <f t="shared" si="11"/>
        <v>0</v>
      </c>
    </row>
    <row r="58" spans="1:26" s="70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10486.88</v>
      </c>
      <c r="E58" s="3"/>
      <c r="F58" s="7">
        <f t="shared" si="4"/>
        <v>3.3819526980435402E-2</v>
      </c>
      <c r="G58" s="3"/>
      <c r="H58" s="8">
        <v>39107</v>
      </c>
      <c r="I58" s="3"/>
      <c r="J58" s="7">
        <f t="shared" si="5"/>
        <v>7.9590922967334887E-2</v>
      </c>
      <c r="K58" s="3"/>
      <c r="L58" s="8">
        <f t="shared" si="6"/>
        <v>-28620.120000000003</v>
      </c>
      <c r="M58" s="3"/>
      <c r="N58" s="7">
        <f t="shared" si="7"/>
        <v>-0.73184135832459674</v>
      </c>
      <c r="O58" s="12"/>
      <c r="P58" s="8">
        <v>86327.4</v>
      </c>
      <c r="Q58" s="3"/>
      <c r="R58" s="7">
        <f t="shared" si="8"/>
        <v>8.6873783976944577E-2</v>
      </c>
      <c r="S58" s="3"/>
      <c r="T58" s="8">
        <v>315374</v>
      </c>
      <c r="U58" s="3"/>
      <c r="V58" s="7">
        <f t="shared" si="9"/>
        <v>0.23680531256523196</v>
      </c>
      <c r="W58" s="3"/>
      <c r="X58" s="8">
        <f t="shared" si="10"/>
        <v>-229046.6</v>
      </c>
      <c r="Y58" s="3"/>
      <c r="Z58" s="7">
        <f t="shared" si="11"/>
        <v>-0.7262697622505343</v>
      </c>
    </row>
    <row r="59" spans="1:26" s="69" customFormat="1" ht="15" customHeight="1" outlineLevel="1" collapsed="1" x14ac:dyDescent="0.3">
      <c r="A59" s="25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0</v>
      </c>
      <c r="E59" s="2"/>
      <c r="F59" s="6">
        <f t="shared" ref="F59:F90" si="12">IF(D$12=0,0,D59/D$12)</f>
        <v>0</v>
      </c>
      <c r="G59" s="2"/>
      <c r="H59" s="2">
        <f>SUM(OSRRefH22_6x_0)</f>
        <v>0</v>
      </c>
      <c r="I59" s="2"/>
      <c r="J59" s="6">
        <f t="shared" ref="J59:J90" si="13">IF(H$12=0,0,H59/H$12)</f>
        <v>0</v>
      </c>
      <c r="K59" s="2"/>
      <c r="L59" s="2">
        <f t="shared" ref="L59:L90" si="14">+D59-H59</f>
        <v>0</v>
      </c>
      <c r="M59" s="2"/>
      <c r="N59" s="6">
        <f t="shared" ref="N59:N90" si="15">IF(H59=0,0,L59/H59)</f>
        <v>0</v>
      </c>
      <c r="O59" s="14"/>
      <c r="P59" s="2">
        <f>SUM(OSRRefP22_6x_0)</f>
        <v>314.87</v>
      </c>
      <c r="Q59" s="2"/>
      <c r="R59" s="6">
        <f t="shared" ref="R59:R90" si="16">IF(P$12=0,0,P59/P$12)</f>
        <v>3.1686287738100005E-4</v>
      </c>
      <c r="S59" s="2"/>
      <c r="T59" s="2">
        <f>SUM(OSRRefT22_6x_0)</f>
        <v>280</v>
      </c>
      <c r="U59" s="2"/>
      <c r="V59" s="6">
        <f t="shared" ref="V59:V90" si="17">IF(T$12=0,0,T59/T$12)</f>
        <v>2.1024398814824605E-4</v>
      </c>
      <c r="W59" s="2"/>
      <c r="X59" s="2">
        <f t="shared" ref="X59:X90" si="18">+P59-T59</f>
        <v>34.870000000000005</v>
      </c>
      <c r="Y59" s="2"/>
      <c r="Z59" s="6">
        <f t="shared" ref="Z59:Z90" si="19">IF(T59=0,0,X59/T59)</f>
        <v>0.12453571428571431</v>
      </c>
    </row>
    <row r="60" spans="1:26" s="70" customFormat="1" ht="15" hidden="1" customHeight="1" outlineLevel="2" x14ac:dyDescent="0.3">
      <c r="A60" s="26"/>
      <c r="B60" s="12" t="str">
        <f>CONCATENATE("          ","6277"," - ","EMPLOYEE APPRECIATION")</f>
        <v xml:space="preserve">          6277 - EMPLOYEE APPRECIATION</v>
      </c>
      <c r="C60" s="12"/>
      <c r="D60" s="8"/>
      <c r="E60" s="3"/>
      <c r="F60" s="7">
        <f t="shared" si="12"/>
        <v>0</v>
      </c>
      <c r="G60" s="3"/>
      <c r="H60" s="8"/>
      <c r="I60" s="3"/>
      <c r="J60" s="7">
        <f t="shared" si="13"/>
        <v>0</v>
      </c>
      <c r="K60" s="3"/>
      <c r="L60" s="8">
        <f t="shared" si="14"/>
        <v>0</v>
      </c>
      <c r="M60" s="3"/>
      <c r="N60" s="7">
        <f t="shared" si="15"/>
        <v>0</v>
      </c>
      <c r="O60" s="12"/>
      <c r="P60" s="8">
        <v>314.87</v>
      </c>
      <c r="Q60" s="3"/>
      <c r="R60" s="7">
        <f t="shared" si="16"/>
        <v>3.1686287738100005E-4</v>
      </c>
      <c r="S60" s="3"/>
      <c r="T60" s="8">
        <v>280</v>
      </c>
      <c r="U60" s="3"/>
      <c r="V60" s="7">
        <f t="shared" si="17"/>
        <v>2.1024398814824605E-4</v>
      </c>
      <c r="W60" s="3"/>
      <c r="X60" s="8">
        <f t="shared" si="18"/>
        <v>34.870000000000005</v>
      </c>
      <c r="Y60" s="3"/>
      <c r="Z60" s="7">
        <f t="shared" si="19"/>
        <v>0.12453571428571431</v>
      </c>
    </row>
    <row r="61" spans="1:26" s="69" customFormat="1" ht="15" customHeight="1" outlineLevel="1" collapsed="1" x14ac:dyDescent="0.3">
      <c r="A61" s="25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1064.47</v>
      </c>
      <c r="E61" s="2"/>
      <c r="F61" s="6">
        <f t="shared" si="12"/>
        <v>3.4328486532566476E-3</v>
      </c>
      <c r="G61" s="2"/>
      <c r="H61" s="2">
        <f>SUM(OSRRefH22_7x_0)</f>
        <v>951</v>
      </c>
      <c r="I61" s="2"/>
      <c r="J61" s="6">
        <f t="shared" si="13"/>
        <v>1.9354838709677419E-3</v>
      </c>
      <c r="K61" s="2"/>
      <c r="L61" s="2">
        <f t="shared" si="14"/>
        <v>113.47000000000003</v>
      </c>
      <c r="M61" s="2"/>
      <c r="N61" s="6">
        <f t="shared" si="15"/>
        <v>0.11931650893796007</v>
      </c>
      <c r="O61" s="14"/>
      <c r="P61" s="2">
        <f>SUM(OSRRefP22_7x_0)</f>
        <v>7420.66</v>
      </c>
      <c r="Q61" s="2"/>
      <c r="R61" s="6">
        <f t="shared" si="16"/>
        <v>7.4676268925781804E-3</v>
      </c>
      <c r="S61" s="2"/>
      <c r="T61" s="2">
        <f>SUM(OSRRefT22_7x_0)</f>
        <v>7608</v>
      </c>
      <c r="U61" s="2"/>
      <c r="V61" s="6">
        <f t="shared" si="17"/>
        <v>5.7126295065423422E-3</v>
      </c>
      <c r="W61" s="2"/>
      <c r="X61" s="2">
        <f t="shared" si="18"/>
        <v>-187.34000000000015</v>
      </c>
      <c r="Y61" s="2"/>
      <c r="Z61" s="6">
        <f t="shared" si="19"/>
        <v>-2.4624079915878044E-2</v>
      </c>
    </row>
    <row r="62" spans="1:26" s="70" customFormat="1" ht="15" hidden="1" customHeight="1" outlineLevel="2" x14ac:dyDescent="0.3">
      <c r="A62" s="26"/>
      <c r="B62" s="12" t="str">
        <f>CONCATENATE("          ","6351"," - ","EQUIPMENT RENTAL")</f>
        <v xml:space="preserve">          6351 - EQUIPMENT RENTAL</v>
      </c>
      <c r="C62" s="12"/>
      <c r="D62" s="8">
        <v>1064.47</v>
      </c>
      <c r="E62" s="3"/>
      <c r="F62" s="7">
        <f t="shared" si="12"/>
        <v>3.4328486532566476E-3</v>
      </c>
      <c r="G62" s="3"/>
      <c r="H62" s="8">
        <v>951</v>
      </c>
      <c r="I62" s="3"/>
      <c r="J62" s="7">
        <f t="shared" si="13"/>
        <v>1.9354838709677419E-3</v>
      </c>
      <c r="K62" s="3"/>
      <c r="L62" s="8">
        <f t="shared" si="14"/>
        <v>113.47000000000003</v>
      </c>
      <c r="M62" s="3"/>
      <c r="N62" s="7">
        <f t="shared" si="15"/>
        <v>0.11931650893796007</v>
      </c>
      <c r="O62" s="12"/>
      <c r="P62" s="8">
        <v>7420.66</v>
      </c>
      <c r="Q62" s="3"/>
      <c r="R62" s="7">
        <f t="shared" si="16"/>
        <v>7.4676268925781804E-3</v>
      </c>
      <c r="S62" s="3"/>
      <c r="T62" s="8">
        <v>7608</v>
      </c>
      <c r="U62" s="3"/>
      <c r="V62" s="7">
        <f t="shared" si="17"/>
        <v>5.7126295065423422E-3</v>
      </c>
      <c r="W62" s="3"/>
      <c r="X62" s="8">
        <f t="shared" si="18"/>
        <v>-187.34000000000015</v>
      </c>
      <c r="Y62" s="3"/>
      <c r="Z62" s="7">
        <f t="shared" si="19"/>
        <v>-2.4624079915878044E-2</v>
      </c>
    </row>
    <row r="63" spans="1:26" s="69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2846.65</v>
      </c>
      <c r="E63" s="2"/>
      <c r="F63" s="6">
        <f t="shared" si="12"/>
        <v>9.1802668170949259E-3</v>
      </c>
      <c r="G63" s="2"/>
      <c r="H63" s="2">
        <f>SUM(OSRRefH22_8x_0)</f>
        <v>0</v>
      </c>
      <c r="I63" s="2"/>
      <c r="J63" s="6">
        <f t="shared" si="13"/>
        <v>0</v>
      </c>
      <c r="K63" s="2"/>
      <c r="L63" s="2">
        <f t="shared" si="14"/>
        <v>2846.65</v>
      </c>
      <c r="M63" s="2"/>
      <c r="N63" s="6">
        <f t="shared" si="15"/>
        <v>0</v>
      </c>
      <c r="O63" s="14"/>
      <c r="P63" s="2">
        <f>SUM(OSRRefP22_8x_0)</f>
        <v>22223.35</v>
      </c>
      <c r="Q63" s="2"/>
      <c r="R63" s="6">
        <f t="shared" si="16"/>
        <v>2.2364006180471453E-2</v>
      </c>
      <c r="S63" s="2"/>
      <c r="T63" s="2">
        <f>SUM(OSRRefT22_8x_0)</f>
        <v>6650</v>
      </c>
      <c r="U63" s="2"/>
      <c r="V63" s="6">
        <f t="shared" si="17"/>
        <v>4.9932947185208432E-3</v>
      </c>
      <c r="W63" s="2"/>
      <c r="X63" s="2">
        <f t="shared" si="18"/>
        <v>15573.349999999999</v>
      </c>
      <c r="Y63" s="2"/>
      <c r="Z63" s="6">
        <f t="shared" si="19"/>
        <v>2.3418571428571426</v>
      </c>
    </row>
    <row r="64" spans="1:26" s="70" customFormat="1" ht="15" hidden="1" customHeight="1" outlineLevel="2" x14ac:dyDescent="0.3">
      <c r="A64" s="26"/>
      <c r="B64" s="12" t="str">
        <f>CONCATENATE("          ","6269"," - ","ENTERTAINMENT")</f>
        <v xml:space="preserve">          6269 - ENTERTAINMENT</v>
      </c>
      <c r="C64" s="12"/>
      <c r="D64" s="8"/>
      <c r="E64" s="3"/>
      <c r="F64" s="7">
        <f t="shared" si="12"/>
        <v>0</v>
      </c>
      <c r="G64" s="3"/>
      <c r="H64" s="8"/>
      <c r="I64" s="3"/>
      <c r="J64" s="7">
        <f t="shared" si="13"/>
        <v>0</v>
      </c>
      <c r="K64" s="3"/>
      <c r="L64" s="8">
        <f t="shared" si="14"/>
        <v>0</v>
      </c>
      <c r="M64" s="3"/>
      <c r="N64" s="7">
        <f t="shared" si="15"/>
        <v>0</v>
      </c>
      <c r="O64" s="12"/>
      <c r="P64" s="8"/>
      <c r="Q64" s="3"/>
      <c r="R64" s="7">
        <f t="shared" si="16"/>
        <v>0</v>
      </c>
      <c r="S64" s="3"/>
      <c r="T64" s="8">
        <v>250</v>
      </c>
      <c r="U64" s="3"/>
      <c r="V64" s="7">
        <f t="shared" si="17"/>
        <v>1.8771784656093396E-4</v>
      </c>
      <c r="W64" s="3"/>
      <c r="X64" s="8">
        <f t="shared" si="18"/>
        <v>-250</v>
      </c>
      <c r="Y64" s="3"/>
      <c r="Z64" s="7">
        <f t="shared" si="19"/>
        <v>-1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8">
        <v>2846.65</v>
      </c>
      <c r="E65" s="3"/>
      <c r="F65" s="7">
        <f t="shared" si="12"/>
        <v>9.1802668170949259E-3</v>
      </c>
      <c r="G65" s="3"/>
      <c r="H65" s="8"/>
      <c r="I65" s="3"/>
      <c r="J65" s="7">
        <f t="shared" si="13"/>
        <v>0</v>
      </c>
      <c r="K65" s="3"/>
      <c r="L65" s="8">
        <f t="shared" si="14"/>
        <v>2846.65</v>
      </c>
      <c r="M65" s="3"/>
      <c r="N65" s="7">
        <f t="shared" si="15"/>
        <v>0</v>
      </c>
      <c r="O65" s="12"/>
      <c r="P65" s="8">
        <v>22223.35</v>
      </c>
      <c r="Q65" s="3"/>
      <c r="R65" s="7">
        <f t="shared" si="16"/>
        <v>2.2364006180471453E-2</v>
      </c>
      <c r="S65" s="3"/>
      <c r="T65" s="8">
        <v>6400</v>
      </c>
      <c r="U65" s="3"/>
      <c r="V65" s="7">
        <f t="shared" si="17"/>
        <v>4.8055768719599094E-3</v>
      </c>
      <c r="W65" s="3"/>
      <c r="X65" s="8">
        <f t="shared" si="18"/>
        <v>15823.349999999999</v>
      </c>
      <c r="Y65" s="3"/>
      <c r="Z65" s="7">
        <f t="shared" si="19"/>
        <v>2.4723984374999999</v>
      </c>
    </row>
    <row r="66" spans="1:26" s="69" customFormat="1" ht="15" customHeight="1" outlineLevel="1" collapsed="1" x14ac:dyDescent="0.3">
      <c r="A66" s="25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SUM(OSRRefD22_9x_0)</f>
        <v>6087.22</v>
      </c>
      <c r="E66" s="2"/>
      <c r="F66" s="6">
        <f t="shared" si="12"/>
        <v>1.963090080422833E-2</v>
      </c>
      <c r="G66" s="2"/>
      <c r="H66" s="2">
        <f>SUM(OSRRefH22_9x_0)</f>
        <v>6000</v>
      </c>
      <c r="I66" s="2"/>
      <c r="J66" s="6">
        <f t="shared" si="13"/>
        <v>1.2211254706421084E-2</v>
      </c>
      <c r="K66" s="2"/>
      <c r="L66" s="2">
        <f t="shared" si="14"/>
        <v>87.220000000000255</v>
      </c>
      <c r="M66" s="2"/>
      <c r="N66" s="6">
        <f t="shared" si="15"/>
        <v>1.453666666666671E-2</v>
      </c>
      <c r="O66" s="14"/>
      <c r="P66" s="2">
        <f>SUM(OSRRefP22_9x_0)</f>
        <v>55580.76</v>
      </c>
      <c r="Q66" s="2"/>
      <c r="R66" s="6">
        <f t="shared" si="16"/>
        <v>5.593254213047541E-2</v>
      </c>
      <c r="S66" s="2"/>
      <c r="T66" s="2">
        <f>SUM(OSRRefT22_9x_0)</f>
        <v>48000</v>
      </c>
      <c r="U66" s="2"/>
      <c r="V66" s="6">
        <f t="shared" si="17"/>
        <v>3.6041826539699319E-2</v>
      </c>
      <c r="W66" s="2"/>
      <c r="X66" s="2">
        <f t="shared" si="18"/>
        <v>7580.760000000002</v>
      </c>
      <c r="Y66" s="2"/>
      <c r="Z66" s="6">
        <f t="shared" si="19"/>
        <v>0.15793250000000003</v>
      </c>
    </row>
    <row r="67" spans="1:26" s="70" customFormat="1" ht="15" hidden="1" customHeight="1" outlineLevel="2" x14ac:dyDescent="0.3">
      <c r="A67" s="26"/>
      <c r="B67" s="12" t="str">
        <f>CONCATENATE("          ","6314"," - ","LIABILITY INSURANCE")</f>
        <v xml:space="preserve">          6314 - LIABILITY INSURANCE</v>
      </c>
      <c r="C67" s="12"/>
      <c r="D67" s="8">
        <v>6087.22</v>
      </c>
      <c r="E67" s="3"/>
      <c r="F67" s="7">
        <f t="shared" si="12"/>
        <v>1.963090080422833E-2</v>
      </c>
      <c r="G67" s="3"/>
      <c r="H67" s="8">
        <v>6000</v>
      </c>
      <c r="I67" s="3"/>
      <c r="J67" s="7">
        <f t="shared" si="13"/>
        <v>1.2211254706421084E-2</v>
      </c>
      <c r="K67" s="3"/>
      <c r="L67" s="8">
        <f t="shared" si="14"/>
        <v>87.220000000000255</v>
      </c>
      <c r="M67" s="3"/>
      <c r="N67" s="7">
        <f t="shared" si="15"/>
        <v>1.453666666666671E-2</v>
      </c>
      <c r="O67" s="12"/>
      <c r="P67" s="8">
        <v>55580.76</v>
      </c>
      <c r="Q67" s="3"/>
      <c r="R67" s="7">
        <f t="shared" si="16"/>
        <v>5.593254213047541E-2</v>
      </c>
      <c r="S67" s="3"/>
      <c r="T67" s="8">
        <v>48000</v>
      </c>
      <c r="U67" s="3"/>
      <c r="V67" s="7">
        <f t="shared" si="17"/>
        <v>3.6041826539699319E-2</v>
      </c>
      <c r="W67" s="3"/>
      <c r="X67" s="8">
        <f t="shared" si="18"/>
        <v>7580.760000000002</v>
      </c>
      <c r="Y67" s="3"/>
      <c r="Z67" s="7">
        <f t="shared" si="19"/>
        <v>0.15793250000000003</v>
      </c>
    </row>
    <row r="68" spans="1:26" s="69" customFormat="1" ht="15" customHeight="1" outlineLevel="1" collapsed="1" x14ac:dyDescent="0.3">
      <c r="A68" s="25"/>
      <c r="B68" s="14" t="str">
        <f>CONCATENATE("     ","Interest                                          ")</f>
        <v xml:space="preserve">     Interest                                          </v>
      </c>
      <c r="C68" s="14"/>
      <c r="D68" s="2">
        <f>SUM(OSRRefD22_10x_0)</f>
        <v>11158</v>
      </c>
      <c r="E68" s="2"/>
      <c r="F68" s="6">
        <f t="shared" si="12"/>
        <v>3.5983846677724758E-2</v>
      </c>
      <c r="G68" s="2"/>
      <c r="H68" s="2">
        <f>SUM(OSRRefH22_10x_0)</f>
        <v>11158</v>
      </c>
      <c r="I68" s="2"/>
      <c r="J68" s="6">
        <f t="shared" si="13"/>
        <v>2.2708863335707746E-2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SUM(OSRRefP22_10x_0)</f>
        <v>88474</v>
      </c>
      <c r="Q68" s="2"/>
      <c r="R68" s="6">
        <f t="shared" si="16"/>
        <v>8.9033970252506103E-2</v>
      </c>
      <c r="S68" s="2"/>
      <c r="T68" s="2">
        <f>SUM(OSRRefT22_10x_0)</f>
        <v>89264</v>
      </c>
      <c r="U68" s="2"/>
      <c r="V68" s="6">
        <f t="shared" si="17"/>
        <v>6.7025783421660837E-2</v>
      </c>
      <c r="W68" s="2"/>
      <c r="X68" s="2">
        <f t="shared" si="18"/>
        <v>-790</v>
      </c>
      <c r="Y68" s="2"/>
      <c r="Z68" s="6">
        <f t="shared" si="19"/>
        <v>-8.850152357053236E-3</v>
      </c>
    </row>
    <row r="69" spans="1:26" s="70" customFormat="1" ht="15" hidden="1" customHeight="1" outlineLevel="2" x14ac:dyDescent="0.3">
      <c r="A69" s="26"/>
      <c r="B69" s="12" t="str">
        <f>CONCATENATE("          ","6401"," - ","INTEREST EXPENSE")</f>
        <v xml:space="preserve">          6401 - INTEREST EXPENSE</v>
      </c>
      <c r="C69" s="12"/>
      <c r="D69" s="8">
        <v>11158</v>
      </c>
      <c r="E69" s="3"/>
      <c r="F69" s="7">
        <f t="shared" si="12"/>
        <v>3.5983846677724758E-2</v>
      </c>
      <c r="G69" s="3"/>
      <c r="H69" s="8">
        <v>11158</v>
      </c>
      <c r="I69" s="3"/>
      <c r="J69" s="7">
        <f t="shared" si="13"/>
        <v>2.2708863335707746E-2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>
        <v>88474</v>
      </c>
      <c r="Q69" s="3"/>
      <c r="R69" s="7">
        <f t="shared" si="16"/>
        <v>8.9033970252506103E-2</v>
      </c>
      <c r="S69" s="3"/>
      <c r="T69" s="8">
        <v>89264</v>
      </c>
      <c r="U69" s="3"/>
      <c r="V69" s="7">
        <f t="shared" si="17"/>
        <v>6.7025783421660837E-2</v>
      </c>
      <c r="W69" s="3"/>
      <c r="X69" s="8">
        <f t="shared" si="18"/>
        <v>-790</v>
      </c>
      <c r="Y69" s="3"/>
      <c r="Z69" s="7">
        <f t="shared" si="19"/>
        <v>-8.850152357053236E-3</v>
      </c>
    </row>
    <row r="70" spans="1:26" s="69" customFormat="1" ht="15" customHeight="1" outlineLevel="1" collapsed="1" x14ac:dyDescent="0.3">
      <c r="A70" s="25"/>
      <c r="B70" s="14" t="str">
        <f>CONCATENATE("     ","Rent                                              ")</f>
        <v xml:space="preserve">     Rent                                              </v>
      </c>
      <c r="C70" s="14"/>
      <c r="D70" s="2">
        <f>SUM(OSRRefD22_11x_0)</f>
        <v>1850</v>
      </c>
      <c r="E70" s="2"/>
      <c r="F70" s="6">
        <f t="shared" si="12"/>
        <v>5.9661333889398458E-3</v>
      </c>
      <c r="G70" s="2"/>
      <c r="H70" s="2">
        <f>SUM(OSRRefH22_11x_0)</f>
        <v>1850</v>
      </c>
      <c r="I70" s="2"/>
      <c r="J70" s="6">
        <f t="shared" si="13"/>
        <v>3.7651368678131678E-3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SUM(OSRRefP22_11x_0)</f>
        <v>14800</v>
      </c>
      <c r="Q70" s="2"/>
      <c r="R70" s="6">
        <f t="shared" si="16"/>
        <v>1.4893672262326676E-2</v>
      </c>
      <c r="S70" s="2"/>
      <c r="T70" s="2">
        <f>SUM(OSRRefT22_11x_0)</f>
        <v>14800</v>
      </c>
      <c r="U70" s="2"/>
      <c r="V70" s="6">
        <f t="shared" si="17"/>
        <v>1.1112896516407291E-2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","6273"," - ","RENT")</f>
        <v xml:space="preserve">          6273 - RENT</v>
      </c>
      <c r="C71" s="12"/>
      <c r="D71" s="8">
        <v>1850</v>
      </c>
      <c r="E71" s="3"/>
      <c r="F71" s="7">
        <f t="shared" si="12"/>
        <v>5.9661333889398458E-3</v>
      </c>
      <c r="G71" s="3"/>
      <c r="H71" s="8">
        <v>1850</v>
      </c>
      <c r="I71" s="3"/>
      <c r="J71" s="7">
        <f t="shared" si="13"/>
        <v>3.7651368678131678E-3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14800</v>
      </c>
      <c r="Q71" s="3"/>
      <c r="R71" s="7">
        <f t="shared" si="16"/>
        <v>1.4893672262326676E-2</v>
      </c>
      <c r="S71" s="3"/>
      <c r="T71" s="8">
        <v>14800</v>
      </c>
      <c r="U71" s="3"/>
      <c r="V71" s="7">
        <f t="shared" si="17"/>
        <v>1.1112896516407291E-2</v>
      </c>
      <c r="W71" s="3"/>
      <c r="X71" s="8">
        <f t="shared" si="18"/>
        <v>0</v>
      </c>
      <c r="Y71" s="3"/>
      <c r="Z71" s="7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","Repair and Maintenance                            ")</f>
        <v xml:space="preserve">     Repair and Maintenance                            </v>
      </c>
      <c r="C72" s="14"/>
      <c r="D72" s="2">
        <f>SUM(OSRRefD22_12x_0)</f>
        <v>7395.51</v>
      </c>
      <c r="E72" s="2"/>
      <c r="F72" s="6">
        <f t="shared" si="12"/>
        <v>2.3850053588777578E-2</v>
      </c>
      <c r="G72" s="2"/>
      <c r="H72" s="2">
        <f>SUM(OSRRefH22_12x_0)</f>
        <v>3744</v>
      </c>
      <c r="I72" s="2"/>
      <c r="J72" s="6">
        <f t="shared" si="13"/>
        <v>7.6198229368067572E-3</v>
      </c>
      <c r="K72" s="2"/>
      <c r="L72" s="2">
        <f t="shared" si="14"/>
        <v>3651.51</v>
      </c>
      <c r="M72" s="2"/>
      <c r="N72" s="6">
        <f t="shared" si="15"/>
        <v>0.97529647435897437</v>
      </c>
      <c r="O72" s="14"/>
      <c r="P72" s="2">
        <f>SUM(OSRRefP22_12x_0)</f>
        <v>67897.070000000007</v>
      </c>
      <c r="Q72" s="2"/>
      <c r="R72" s="6">
        <f t="shared" si="16"/>
        <v>6.8326804604881941E-2</v>
      </c>
      <c r="S72" s="2"/>
      <c r="T72" s="2">
        <f>SUM(OSRRefT22_12x_0)</f>
        <v>46818</v>
      </c>
      <c r="U72" s="2"/>
      <c r="V72" s="6">
        <f t="shared" si="17"/>
        <v>3.5154296561159225E-2</v>
      </c>
      <c r="W72" s="2"/>
      <c r="X72" s="2">
        <f t="shared" si="18"/>
        <v>21079.070000000007</v>
      </c>
      <c r="Y72" s="2"/>
      <c r="Z72" s="6">
        <f t="shared" si="19"/>
        <v>0.45023431158955973</v>
      </c>
    </row>
    <row r="73" spans="1:26" s="70" customFormat="1" ht="15" hidden="1" customHeight="1" outlineLevel="2" x14ac:dyDescent="0.3">
      <c r="A73" s="26"/>
      <c r="B73" s="12" t="str">
        <f>CONCATENATE("          ","6371"," - ","COMPUTER SOFTWARE MAINTENANCE")</f>
        <v xml:space="preserve">          6371 - COMPUTER SOFTWARE MAINTENANCE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>
        <v>6817.17</v>
      </c>
      <c r="Q73" s="3"/>
      <c r="R73" s="7">
        <f t="shared" si="16"/>
        <v>6.8603172794976719E-3</v>
      </c>
      <c r="S73" s="3"/>
      <c r="T73" s="8">
        <v>2623</v>
      </c>
      <c r="U73" s="3"/>
      <c r="V73" s="7">
        <f t="shared" si="17"/>
        <v>1.9695356461173191E-3</v>
      </c>
      <c r="W73" s="3"/>
      <c r="X73" s="8">
        <f t="shared" si="18"/>
        <v>4194.17</v>
      </c>
      <c r="Y73" s="3"/>
      <c r="Z73" s="7">
        <f t="shared" si="19"/>
        <v>1.5989973313000381</v>
      </c>
    </row>
    <row r="74" spans="1:26" s="70" customFormat="1" ht="15" hidden="1" customHeight="1" outlineLevel="2" x14ac:dyDescent="0.3">
      <c r="A74" s="26"/>
      <c r="B74" s="12" t="str">
        <f>CONCATENATE("          ","6372"," - ","COMPUTER HARDWARE MAINTENANCE")</f>
        <v xml:space="preserve">          6372 - COMPUTER HARDWARE MAINTENANCE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8000</v>
      </c>
      <c r="U74" s="3"/>
      <c r="V74" s="7">
        <f t="shared" si="17"/>
        <v>6.0069710899498868E-3</v>
      </c>
      <c r="W74" s="3"/>
      <c r="X74" s="8">
        <f t="shared" si="18"/>
        <v>-8000</v>
      </c>
      <c r="Y74" s="3"/>
      <c r="Z74" s="7">
        <f t="shared" si="19"/>
        <v>-1</v>
      </c>
    </row>
    <row r="75" spans="1:26" s="70" customFormat="1" ht="15" hidden="1" customHeight="1" outlineLevel="2" x14ac:dyDescent="0.3">
      <c r="A75" s="26"/>
      <c r="B75" s="12" t="str">
        <f>CONCATENATE("          ","6373"," - ","MAINTENANCE CONTRACTS")</f>
        <v xml:space="preserve">          6373 - MAINTENANCE CONTRACTS</v>
      </c>
      <c r="C75" s="12"/>
      <c r="D75" s="8">
        <v>902.75</v>
      </c>
      <c r="E75" s="3"/>
      <c r="F75" s="7">
        <f t="shared" si="12"/>
        <v>2.9113118469542951E-3</v>
      </c>
      <c r="G75" s="3"/>
      <c r="H75" s="8"/>
      <c r="I75" s="3"/>
      <c r="J75" s="7">
        <f t="shared" si="13"/>
        <v>0</v>
      </c>
      <c r="K75" s="3"/>
      <c r="L75" s="8">
        <f t="shared" si="14"/>
        <v>902.75</v>
      </c>
      <c r="M75" s="3"/>
      <c r="N75" s="7">
        <f t="shared" si="15"/>
        <v>0</v>
      </c>
      <c r="O75" s="12"/>
      <c r="P75" s="8">
        <v>15460.89</v>
      </c>
      <c r="Q75" s="3"/>
      <c r="R75" s="7">
        <f t="shared" si="16"/>
        <v>1.5558745171884046E-2</v>
      </c>
      <c r="S75" s="3"/>
      <c r="T75" s="8">
        <v>5601</v>
      </c>
      <c r="U75" s="3"/>
      <c r="V75" s="7">
        <f t="shared" si="17"/>
        <v>4.2056306343511646E-3</v>
      </c>
      <c r="W75" s="3"/>
      <c r="X75" s="8">
        <f t="shared" si="18"/>
        <v>9859.89</v>
      </c>
      <c r="Y75" s="3"/>
      <c r="Z75" s="7">
        <f t="shared" si="19"/>
        <v>1.7603802892340652</v>
      </c>
    </row>
    <row r="76" spans="1:26" s="70" customFormat="1" ht="15" hidden="1" customHeight="1" outlineLevel="2" x14ac:dyDescent="0.3">
      <c r="A76" s="26"/>
      <c r="B76" s="12" t="str">
        <f>CONCATENATE("          ","6375"," - ","OUTSIDE REPAIRS &amp; MAINTENANCE")</f>
        <v xml:space="preserve">          6375 - OUTSIDE REPAIRS &amp; MAINTENANCE</v>
      </c>
      <c r="C76" s="12"/>
      <c r="D76" s="8">
        <v>6492.76</v>
      </c>
      <c r="E76" s="3"/>
      <c r="F76" s="7">
        <f t="shared" si="12"/>
        <v>2.0938741741823284E-2</v>
      </c>
      <c r="G76" s="3"/>
      <c r="H76" s="8">
        <v>3744</v>
      </c>
      <c r="I76" s="3"/>
      <c r="J76" s="7">
        <f t="shared" si="13"/>
        <v>7.6198229368067572E-3</v>
      </c>
      <c r="K76" s="3"/>
      <c r="L76" s="8">
        <f t="shared" si="14"/>
        <v>2748.76</v>
      </c>
      <c r="M76" s="3"/>
      <c r="N76" s="7">
        <f t="shared" si="15"/>
        <v>0.73417735042735044</v>
      </c>
      <c r="O76" s="12"/>
      <c r="P76" s="8">
        <v>45619.01</v>
      </c>
      <c r="Q76" s="3"/>
      <c r="R76" s="7">
        <f t="shared" si="16"/>
        <v>4.5907742153500221E-2</v>
      </c>
      <c r="S76" s="3"/>
      <c r="T76" s="8">
        <v>30594</v>
      </c>
      <c r="U76" s="3"/>
      <c r="V76" s="7">
        <f t="shared" si="17"/>
        <v>2.2972159190740856E-2</v>
      </c>
      <c r="W76" s="3"/>
      <c r="X76" s="8">
        <f t="shared" si="18"/>
        <v>15025.010000000002</v>
      </c>
      <c r="Y76" s="3"/>
      <c r="Z76" s="7">
        <f t="shared" si="19"/>
        <v>0.49110969471138138</v>
      </c>
    </row>
    <row r="77" spans="1:26" s="69" customFormat="1" ht="15" customHeight="1" outlineLevel="1" collapsed="1" x14ac:dyDescent="0.3">
      <c r="A77" s="25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2">
        <f>SUM(OSRRefD22_13x_0)</f>
        <v>1789.12</v>
      </c>
      <c r="E77" s="2"/>
      <c r="F77" s="6">
        <f t="shared" si="12"/>
        <v>5.7697992263892198E-3</v>
      </c>
      <c r="G77" s="2"/>
      <c r="H77" s="2">
        <f>SUM(OSRRefH22_13x_0)</f>
        <v>2644</v>
      </c>
      <c r="I77" s="2"/>
      <c r="J77" s="6">
        <f t="shared" si="13"/>
        <v>5.3810929072962248E-3</v>
      </c>
      <c r="K77" s="2"/>
      <c r="L77" s="2">
        <f t="shared" si="14"/>
        <v>-854.88000000000011</v>
      </c>
      <c r="M77" s="2"/>
      <c r="N77" s="6">
        <f t="shared" si="15"/>
        <v>-0.32332829046898642</v>
      </c>
      <c r="O77" s="14"/>
      <c r="P77" s="2">
        <f>SUM(OSRRefP22_13x_0)</f>
        <v>3634.03</v>
      </c>
      <c r="Q77" s="2"/>
      <c r="R77" s="6">
        <f t="shared" si="16"/>
        <v>3.657030527801555E-3</v>
      </c>
      <c r="S77" s="2"/>
      <c r="T77" s="2">
        <f>SUM(OSRRefT22_13x_0)</f>
        <v>7865</v>
      </c>
      <c r="U77" s="2"/>
      <c r="V77" s="6">
        <f t="shared" si="17"/>
        <v>5.9056034528069826E-3</v>
      </c>
      <c r="W77" s="2"/>
      <c r="X77" s="2">
        <f t="shared" si="18"/>
        <v>-4230.9699999999993</v>
      </c>
      <c r="Y77" s="2"/>
      <c r="Z77" s="6">
        <f t="shared" si="19"/>
        <v>-0.53794914176732356</v>
      </c>
    </row>
    <row r="78" spans="1:26" s="70" customFormat="1" ht="15" hidden="1" customHeight="1" outlineLevel="2" x14ac:dyDescent="0.3">
      <c r="A78" s="26"/>
      <c r="B78" s="12" t="str">
        <f>CONCATENATE("          ","6254"," - ","ROYALTY &amp; COMMISSIONS")</f>
        <v xml:space="preserve">          6254 - ROYALTY &amp; COMMISSIONS</v>
      </c>
      <c r="C78" s="12"/>
      <c r="D78" s="8">
        <v>1789.12</v>
      </c>
      <c r="E78" s="3"/>
      <c r="F78" s="7">
        <f t="shared" si="12"/>
        <v>5.7697992263892198E-3</v>
      </c>
      <c r="G78" s="3"/>
      <c r="H78" s="8"/>
      <c r="I78" s="3"/>
      <c r="J78" s="7">
        <f t="shared" si="13"/>
        <v>0</v>
      </c>
      <c r="K78" s="3"/>
      <c r="L78" s="8">
        <f t="shared" si="14"/>
        <v>1789.12</v>
      </c>
      <c r="M78" s="3"/>
      <c r="N78" s="7">
        <f t="shared" si="15"/>
        <v>0</v>
      </c>
      <c r="O78" s="12"/>
      <c r="P78" s="8">
        <v>3634.03</v>
      </c>
      <c r="Q78" s="3"/>
      <c r="R78" s="7">
        <f t="shared" si="16"/>
        <v>3.657030527801555E-3</v>
      </c>
      <c r="S78" s="3"/>
      <c r="T78" s="8"/>
      <c r="U78" s="3"/>
      <c r="V78" s="7">
        <f t="shared" si="17"/>
        <v>0</v>
      </c>
      <c r="W78" s="3"/>
      <c r="X78" s="8">
        <f t="shared" si="18"/>
        <v>3634.03</v>
      </c>
      <c r="Y78" s="3"/>
      <c r="Z78" s="7">
        <f t="shared" si="19"/>
        <v>0</v>
      </c>
    </row>
    <row r="79" spans="1:26" s="70" customFormat="1" ht="15" hidden="1" customHeight="1" outlineLevel="2" x14ac:dyDescent="0.3">
      <c r="A79" s="26"/>
      <c r="B79" s="12" t="str">
        <f>CONCATENATE("          ","6259"," - ","ROYALTY &amp; COMMISSIONS")</f>
        <v xml:space="preserve">          6259 - ROYALTY &amp; COMMISSIONS</v>
      </c>
      <c r="C79" s="12"/>
      <c r="D79" s="8"/>
      <c r="E79" s="3"/>
      <c r="F79" s="7">
        <f t="shared" si="12"/>
        <v>0</v>
      </c>
      <c r="G79" s="3"/>
      <c r="H79" s="8">
        <v>2644</v>
      </c>
      <c r="I79" s="3"/>
      <c r="J79" s="7">
        <f t="shared" si="13"/>
        <v>5.3810929072962248E-3</v>
      </c>
      <c r="K79" s="3"/>
      <c r="L79" s="8">
        <f t="shared" si="14"/>
        <v>-2644</v>
      </c>
      <c r="M79" s="3"/>
      <c r="N79" s="7">
        <f t="shared" si="15"/>
        <v>-1</v>
      </c>
      <c r="O79" s="12"/>
      <c r="P79" s="8"/>
      <c r="Q79" s="3"/>
      <c r="R79" s="7">
        <f t="shared" si="16"/>
        <v>0</v>
      </c>
      <c r="S79" s="3"/>
      <c r="T79" s="8">
        <v>7865</v>
      </c>
      <c r="U79" s="3"/>
      <c r="V79" s="7">
        <f t="shared" si="17"/>
        <v>5.9056034528069826E-3</v>
      </c>
      <c r="W79" s="3"/>
      <c r="X79" s="8">
        <f t="shared" si="18"/>
        <v>-7865</v>
      </c>
      <c r="Y79" s="3"/>
      <c r="Z79" s="7">
        <f t="shared" si="19"/>
        <v>-1</v>
      </c>
    </row>
    <row r="80" spans="1:26" s="69" customFormat="1" ht="15" customHeight="1" outlineLevel="1" collapsed="1" x14ac:dyDescent="0.3">
      <c r="A80" s="25"/>
      <c r="B80" s="14" t="str">
        <f>CONCATENATE("     ","Services                                          ")</f>
        <v xml:space="preserve">     Services                                          </v>
      </c>
      <c r="C80" s="14"/>
      <c r="D80" s="2">
        <f>SUM(OSRRefD22_14x_0)</f>
        <v>9605.49</v>
      </c>
      <c r="E80" s="2"/>
      <c r="F80" s="6">
        <f t="shared" si="12"/>
        <v>3.0977099787096108E-2</v>
      </c>
      <c r="G80" s="2"/>
      <c r="H80" s="2">
        <f>SUM(OSRRefH22_14x_0)</f>
        <v>11297</v>
      </c>
      <c r="I80" s="2"/>
      <c r="J80" s="6">
        <f t="shared" si="13"/>
        <v>2.2991757403073167E-2</v>
      </c>
      <c r="K80" s="2"/>
      <c r="L80" s="2">
        <f t="shared" si="14"/>
        <v>-1691.5100000000002</v>
      </c>
      <c r="M80" s="2"/>
      <c r="N80" s="6">
        <f t="shared" si="15"/>
        <v>-0.14973090200938305</v>
      </c>
      <c r="O80" s="14"/>
      <c r="P80" s="2">
        <f>SUM(OSRRefP22_14x_0)</f>
        <v>65806.720000000001</v>
      </c>
      <c r="Q80" s="2"/>
      <c r="R80" s="6">
        <f t="shared" si="16"/>
        <v>6.6223224347209328E-2</v>
      </c>
      <c r="S80" s="2"/>
      <c r="T80" s="2">
        <f>SUM(OSRRefT22_14x_0)</f>
        <v>86196</v>
      </c>
      <c r="U80" s="2"/>
      <c r="V80" s="6">
        <f t="shared" si="17"/>
        <v>6.4722110008665054E-2</v>
      </c>
      <c r="W80" s="2"/>
      <c r="X80" s="2">
        <f t="shared" si="18"/>
        <v>-20389.28</v>
      </c>
      <c r="Y80" s="2"/>
      <c r="Z80" s="6">
        <f t="shared" si="19"/>
        <v>-0.23654554735718594</v>
      </c>
    </row>
    <row r="81" spans="1:26" s="70" customFormat="1" ht="15" hidden="1" customHeight="1" outlineLevel="2" x14ac:dyDescent="0.3">
      <c r="A81" s="26"/>
      <c r="B81" s="12" t="str">
        <f>CONCATENATE("          ","6282"," - ","JANITORIAL/EXTERMINATOR EXPENS")</f>
        <v xml:space="preserve">          6282 - JANITORIAL/EXTERMINATOR EXPENS</v>
      </c>
      <c r="C81" s="12"/>
      <c r="D81" s="8">
        <v>1531.9</v>
      </c>
      <c r="E81" s="3"/>
      <c r="F81" s="7">
        <f t="shared" si="12"/>
        <v>4.9402809397388926E-3</v>
      </c>
      <c r="G81" s="3"/>
      <c r="H81" s="8">
        <v>1386</v>
      </c>
      <c r="I81" s="3"/>
      <c r="J81" s="7">
        <f t="shared" si="13"/>
        <v>2.8207998371832708E-3</v>
      </c>
      <c r="K81" s="3"/>
      <c r="L81" s="8">
        <f t="shared" si="14"/>
        <v>145.90000000000009</v>
      </c>
      <c r="M81" s="3"/>
      <c r="N81" s="7">
        <f t="shared" si="15"/>
        <v>0.10526695526695533</v>
      </c>
      <c r="O81" s="12"/>
      <c r="P81" s="8">
        <v>10857.11</v>
      </c>
      <c r="Q81" s="3"/>
      <c r="R81" s="7">
        <f t="shared" si="16"/>
        <v>1.0925826895677674E-2</v>
      </c>
      <c r="S81" s="3"/>
      <c r="T81" s="8">
        <v>10730</v>
      </c>
      <c r="U81" s="3"/>
      <c r="V81" s="7">
        <f t="shared" si="17"/>
        <v>8.0568499743952863E-3</v>
      </c>
      <c r="W81" s="3"/>
      <c r="X81" s="8">
        <f t="shared" si="18"/>
        <v>127.11000000000058</v>
      </c>
      <c r="Y81" s="3"/>
      <c r="Z81" s="7">
        <f t="shared" si="19"/>
        <v>1.1846225535880762E-2</v>
      </c>
    </row>
    <row r="82" spans="1:26" s="70" customFormat="1" ht="15" hidden="1" customHeight="1" outlineLevel="2" x14ac:dyDescent="0.3">
      <c r="A82" s="26"/>
      <c r="B82" s="12" t="str">
        <f>CONCATENATE("          ","6283"," - ","PLANT SERVICE")</f>
        <v xml:space="preserve">          6283 - PLANT SERVICE</v>
      </c>
      <c r="C82" s="12"/>
      <c r="D82" s="8"/>
      <c r="E82" s="3"/>
      <c r="F82" s="7">
        <f t="shared" si="12"/>
        <v>0</v>
      </c>
      <c r="G82" s="3"/>
      <c r="H82" s="8">
        <v>100</v>
      </c>
      <c r="I82" s="3"/>
      <c r="J82" s="7">
        <f t="shared" si="13"/>
        <v>2.0352091177368474E-4</v>
      </c>
      <c r="K82" s="3"/>
      <c r="L82" s="8">
        <f t="shared" si="14"/>
        <v>-100</v>
      </c>
      <c r="M82" s="3"/>
      <c r="N82" s="7">
        <f t="shared" si="15"/>
        <v>-1</v>
      </c>
      <c r="O82" s="12"/>
      <c r="P82" s="8"/>
      <c r="Q82" s="3"/>
      <c r="R82" s="7">
        <f t="shared" si="16"/>
        <v>0</v>
      </c>
      <c r="S82" s="3"/>
      <c r="T82" s="8">
        <v>800</v>
      </c>
      <c r="U82" s="3"/>
      <c r="V82" s="7">
        <f t="shared" si="17"/>
        <v>6.0069710899498868E-4</v>
      </c>
      <c r="W82" s="3"/>
      <c r="X82" s="8">
        <f t="shared" si="18"/>
        <v>-800</v>
      </c>
      <c r="Y82" s="3"/>
      <c r="Z82" s="7">
        <f t="shared" si="19"/>
        <v>-1</v>
      </c>
    </row>
    <row r="83" spans="1:26" s="70" customFormat="1" ht="15" hidden="1" customHeight="1" outlineLevel="2" x14ac:dyDescent="0.3">
      <c r="A83" s="26"/>
      <c r="B83" s="12" t="str">
        <f>CONCATENATE("          ","6284"," - ","TRASH REMOVAL EXPENSE")</f>
        <v xml:space="preserve">          6284 - TRASH REMOVAL EXPENSE</v>
      </c>
      <c r="C83" s="12"/>
      <c r="D83" s="8"/>
      <c r="E83" s="3"/>
      <c r="F83" s="7">
        <f t="shared" si="12"/>
        <v>0</v>
      </c>
      <c r="G83" s="3"/>
      <c r="H83" s="8">
        <v>1000</v>
      </c>
      <c r="I83" s="3"/>
      <c r="J83" s="7">
        <f t="shared" si="13"/>
        <v>2.0352091177368472E-3</v>
      </c>
      <c r="K83" s="3"/>
      <c r="L83" s="8">
        <f t="shared" si="14"/>
        <v>-1000</v>
      </c>
      <c r="M83" s="3"/>
      <c r="N83" s="7">
        <f t="shared" si="15"/>
        <v>-1</v>
      </c>
      <c r="O83" s="12"/>
      <c r="P83" s="8"/>
      <c r="Q83" s="3"/>
      <c r="R83" s="7">
        <f t="shared" si="16"/>
        <v>0</v>
      </c>
      <c r="S83" s="3"/>
      <c r="T83" s="8">
        <v>8000</v>
      </c>
      <c r="U83" s="3"/>
      <c r="V83" s="7">
        <f t="shared" si="17"/>
        <v>6.0069710899498868E-3</v>
      </c>
      <c r="W83" s="3"/>
      <c r="X83" s="8">
        <f t="shared" si="18"/>
        <v>-8000</v>
      </c>
      <c r="Y83" s="3"/>
      <c r="Z83" s="7">
        <f t="shared" si="19"/>
        <v>-1</v>
      </c>
    </row>
    <row r="84" spans="1:26" s="70" customFormat="1" ht="15" hidden="1" customHeight="1" outlineLevel="2" x14ac:dyDescent="0.3">
      <c r="A84" s="26"/>
      <c r="B84" s="12" t="str">
        <f>CONCATENATE("          ","6285"," - ","JANITORIAL SERVICES")</f>
        <v xml:space="preserve">          6285 - JANITORIAL SERVICES</v>
      </c>
      <c r="C84" s="12"/>
      <c r="D84" s="8">
        <v>7640.91</v>
      </c>
      <c r="E84" s="3"/>
      <c r="F84" s="7">
        <f t="shared" si="12"/>
        <v>2.4641453120478031E-2</v>
      </c>
      <c r="G84" s="3"/>
      <c r="H84" s="8">
        <v>8224</v>
      </c>
      <c r="I84" s="3"/>
      <c r="J84" s="7">
        <f t="shared" si="13"/>
        <v>1.6737559784267834E-2</v>
      </c>
      <c r="K84" s="3"/>
      <c r="L84" s="8">
        <f t="shared" si="14"/>
        <v>-583.09000000000015</v>
      </c>
      <c r="M84" s="3"/>
      <c r="N84" s="7">
        <f t="shared" si="15"/>
        <v>-7.0901021400778225E-2</v>
      </c>
      <c r="O84" s="12"/>
      <c r="P84" s="8">
        <v>51429.87</v>
      </c>
      <c r="Q84" s="3"/>
      <c r="R84" s="7">
        <f t="shared" si="16"/>
        <v>5.1755380288788302E-2</v>
      </c>
      <c r="S84" s="3"/>
      <c r="T84" s="8">
        <v>61484</v>
      </c>
      <c r="U84" s="3"/>
      <c r="V84" s="7">
        <f t="shared" si="17"/>
        <v>4.6166576311809857E-2</v>
      </c>
      <c r="W84" s="3"/>
      <c r="X84" s="8">
        <f t="shared" si="18"/>
        <v>-10054.129999999997</v>
      </c>
      <c r="Y84" s="3"/>
      <c r="Z84" s="7">
        <f t="shared" si="19"/>
        <v>-0.16352433153340704</v>
      </c>
    </row>
    <row r="85" spans="1:26" s="70" customFormat="1" ht="15" hidden="1" customHeight="1" outlineLevel="2" x14ac:dyDescent="0.3">
      <c r="A85" s="26"/>
      <c r="B85" s="12" t="str">
        <f>CONCATENATE("          ","6286"," - ","LAUNDRY EXPENSE")</f>
        <v xml:space="preserve">          6286 - LAUNDRY EXPENSE</v>
      </c>
      <c r="C85" s="12"/>
      <c r="D85" s="8">
        <v>432.68</v>
      </c>
      <c r="E85" s="3"/>
      <c r="F85" s="7">
        <f t="shared" si="12"/>
        <v>1.3953657268791853E-3</v>
      </c>
      <c r="G85" s="3"/>
      <c r="H85" s="8">
        <v>587</v>
      </c>
      <c r="I85" s="3"/>
      <c r="J85" s="7">
        <f t="shared" si="13"/>
        <v>1.1946677521115295E-3</v>
      </c>
      <c r="K85" s="3"/>
      <c r="L85" s="8">
        <f t="shared" si="14"/>
        <v>-154.32</v>
      </c>
      <c r="M85" s="3"/>
      <c r="N85" s="7">
        <f t="shared" si="15"/>
        <v>-0.26289608177172058</v>
      </c>
      <c r="O85" s="12"/>
      <c r="P85" s="8">
        <v>3519.74</v>
      </c>
      <c r="Q85" s="3"/>
      <c r="R85" s="7">
        <f t="shared" si="16"/>
        <v>3.5420171627433576E-3</v>
      </c>
      <c r="S85" s="3"/>
      <c r="T85" s="8">
        <v>5182</v>
      </c>
      <c r="U85" s="3"/>
      <c r="V85" s="7">
        <f t="shared" si="17"/>
        <v>3.8910155235150393E-3</v>
      </c>
      <c r="W85" s="3"/>
      <c r="X85" s="8">
        <f t="shared" si="18"/>
        <v>-1662.2600000000002</v>
      </c>
      <c r="Y85" s="3"/>
      <c r="Z85" s="7">
        <f t="shared" si="19"/>
        <v>-0.32077576225395604</v>
      </c>
    </row>
    <row r="86" spans="1:26" s="69" customFormat="1" ht="15" customHeight="1" outlineLevel="1" collapsed="1" x14ac:dyDescent="0.3">
      <c r="A86" s="25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SUM(OSRRefD22_15x_0)</f>
        <v>622.25</v>
      </c>
      <c r="E86" s="2"/>
      <c r="F86" s="6">
        <f t="shared" si="12"/>
        <v>2.0067170277123349E-3</v>
      </c>
      <c r="G86" s="2"/>
      <c r="H86" s="2">
        <f>SUM(OSRRefH22_15x_0)</f>
        <v>610</v>
      </c>
      <c r="I86" s="2"/>
      <c r="J86" s="6">
        <f t="shared" si="13"/>
        <v>1.241477561819477E-3</v>
      </c>
      <c r="K86" s="2"/>
      <c r="L86" s="2">
        <f t="shared" si="14"/>
        <v>12.25</v>
      </c>
      <c r="M86" s="2"/>
      <c r="N86" s="6">
        <f t="shared" si="15"/>
        <v>2.0081967213114754E-2</v>
      </c>
      <c r="O86" s="14"/>
      <c r="P86" s="2">
        <f>SUM(OSRRefP22_15x_0)</f>
        <v>5155.3599999999997</v>
      </c>
      <c r="Q86" s="2"/>
      <c r="R86" s="6">
        <f t="shared" si="16"/>
        <v>5.1879893401559759E-3</v>
      </c>
      <c r="S86" s="2"/>
      <c r="T86" s="2">
        <f>SUM(OSRRefT22_15x_0)</f>
        <v>4650</v>
      </c>
      <c r="U86" s="2"/>
      <c r="V86" s="6">
        <f t="shared" si="17"/>
        <v>3.4915519460333717E-3</v>
      </c>
      <c r="W86" s="2"/>
      <c r="X86" s="2">
        <f t="shared" si="18"/>
        <v>505.35999999999967</v>
      </c>
      <c r="Y86" s="2"/>
      <c r="Z86" s="6">
        <f t="shared" si="19"/>
        <v>0.10867956989247304</v>
      </c>
    </row>
    <row r="87" spans="1:26" s="70" customFormat="1" ht="15" hidden="1" customHeight="1" outlineLevel="2" x14ac:dyDescent="0.3">
      <c r="A87" s="26"/>
      <c r="B87" s="12" t="str">
        <f>CONCATENATE("          ","6275"," - ","SUBSCRIPTIONS")</f>
        <v xml:space="preserve">          6275 - SUBSCRIPTIONS</v>
      </c>
      <c r="C87" s="12"/>
      <c r="D87" s="8">
        <v>622.25</v>
      </c>
      <c r="E87" s="3"/>
      <c r="F87" s="7">
        <f t="shared" si="12"/>
        <v>2.0067170277123349E-3</v>
      </c>
      <c r="G87" s="3"/>
      <c r="H87" s="8">
        <v>610</v>
      </c>
      <c r="I87" s="3"/>
      <c r="J87" s="7">
        <f t="shared" si="13"/>
        <v>1.241477561819477E-3</v>
      </c>
      <c r="K87" s="3"/>
      <c r="L87" s="8">
        <f t="shared" si="14"/>
        <v>12.25</v>
      </c>
      <c r="M87" s="3"/>
      <c r="N87" s="7">
        <f t="shared" si="15"/>
        <v>2.0081967213114754E-2</v>
      </c>
      <c r="O87" s="12"/>
      <c r="P87" s="8">
        <v>5155.3599999999997</v>
      </c>
      <c r="Q87" s="3"/>
      <c r="R87" s="7">
        <f t="shared" si="16"/>
        <v>5.1879893401559759E-3</v>
      </c>
      <c r="S87" s="3"/>
      <c r="T87" s="8">
        <v>4650</v>
      </c>
      <c r="U87" s="3"/>
      <c r="V87" s="7">
        <f t="shared" si="17"/>
        <v>3.4915519460333717E-3</v>
      </c>
      <c r="W87" s="3"/>
      <c r="X87" s="8">
        <f t="shared" si="18"/>
        <v>505.35999999999967</v>
      </c>
      <c r="Y87" s="3"/>
      <c r="Z87" s="7">
        <f t="shared" si="19"/>
        <v>0.10867956989247304</v>
      </c>
    </row>
    <row r="88" spans="1:26" s="69" customFormat="1" ht="15" customHeight="1" outlineLevel="1" collapsed="1" x14ac:dyDescent="0.3">
      <c r="A88" s="25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SUM(OSRRefD22_16x_0)</f>
        <v>5543.48</v>
      </c>
      <c r="E88" s="2"/>
      <c r="F88" s="6">
        <f t="shared" si="12"/>
        <v>1.7877373577794734E-2</v>
      </c>
      <c r="G88" s="2"/>
      <c r="H88" s="2">
        <f>SUM(OSRRefH22_16x_0)</f>
        <v>4475</v>
      </c>
      <c r="I88" s="2"/>
      <c r="J88" s="6">
        <f t="shared" si="13"/>
        <v>9.1075608018723921E-3</v>
      </c>
      <c r="K88" s="2"/>
      <c r="L88" s="2">
        <f t="shared" si="14"/>
        <v>1068.4799999999996</v>
      </c>
      <c r="M88" s="2"/>
      <c r="N88" s="6">
        <f t="shared" si="15"/>
        <v>0.23876648044692728</v>
      </c>
      <c r="O88" s="14"/>
      <c r="P88" s="2">
        <f>SUM(OSRRefP22_16x_0)</f>
        <v>29117.38</v>
      </c>
      <c r="Q88" s="2"/>
      <c r="R88" s="6">
        <f t="shared" si="16"/>
        <v>2.9301669922812537E-2</v>
      </c>
      <c r="S88" s="2"/>
      <c r="T88" s="2">
        <f>SUM(OSRRefT22_16x_0)</f>
        <v>41998</v>
      </c>
      <c r="U88" s="2"/>
      <c r="V88" s="6">
        <f t="shared" si="17"/>
        <v>3.1535096479464418E-2</v>
      </c>
      <c r="W88" s="2"/>
      <c r="X88" s="2">
        <f t="shared" si="18"/>
        <v>-12880.619999999999</v>
      </c>
      <c r="Y88" s="2"/>
      <c r="Z88" s="6">
        <f t="shared" si="19"/>
        <v>-0.30669603314443544</v>
      </c>
    </row>
    <row r="89" spans="1:26" s="70" customFormat="1" ht="15" hidden="1" customHeight="1" outlineLevel="2" x14ac:dyDescent="0.3">
      <c r="A89" s="26"/>
      <c r="B89" s="12" t="str">
        <f>CONCATENATE("          ","6234"," - ","EXPENDABLE SUPPLIES &amp; EQUIPMEN")</f>
        <v xml:space="preserve">          6234 - EXPENDABLE SUPPLIES &amp; EQUIPMEN</v>
      </c>
      <c r="C89" s="12"/>
      <c r="D89" s="8"/>
      <c r="E89" s="3"/>
      <c r="F89" s="7">
        <f t="shared" si="12"/>
        <v>0</v>
      </c>
      <c r="G89" s="3"/>
      <c r="H89" s="8">
        <v>50</v>
      </c>
      <c r="I89" s="3"/>
      <c r="J89" s="7">
        <f t="shared" si="13"/>
        <v>1.0176045588684237E-4</v>
      </c>
      <c r="K89" s="3"/>
      <c r="L89" s="8">
        <f t="shared" si="14"/>
        <v>-50</v>
      </c>
      <c r="M89" s="3"/>
      <c r="N89" s="7">
        <f t="shared" si="15"/>
        <v>-1</v>
      </c>
      <c r="O89" s="12"/>
      <c r="P89" s="8">
        <v>1252.6600000000001</v>
      </c>
      <c r="Q89" s="3"/>
      <c r="R89" s="7">
        <f t="shared" si="16"/>
        <v>1.2605883443328469E-3</v>
      </c>
      <c r="S89" s="3"/>
      <c r="T89" s="8">
        <v>650</v>
      </c>
      <c r="U89" s="3"/>
      <c r="V89" s="7">
        <f t="shared" si="17"/>
        <v>4.8806640105842833E-4</v>
      </c>
      <c r="W89" s="3"/>
      <c r="X89" s="8">
        <f t="shared" si="18"/>
        <v>602.66000000000008</v>
      </c>
      <c r="Y89" s="3"/>
      <c r="Z89" s="7">
        <f t="shared" si="19"/>
        <v>0.92716923076923086</v>
      </c>
    </row>
    <row r="90" spans="1:26" s="70" customFormat="1" ht="15" hidden="1" customHeight="1" outlineLevel="2" x14ac:dyDescent="0.3">
      <c r="A90" s="26"/>
      <c r="B90" s="12" t="str">
        <f>CONCATENATE("          ","6235"," - ","COVID-19 EXPENSES")</f>
        <v xml:space="preserve">          6235 - COVID-19 EXPENSES</v>
      </c>
      <c r="C90" s="12"/>
      <c r="D90" s="8"/>
      <c r="E90" s="3"/>
      <c r="F90" s="7">
        <f t="shared" si="12"/>
        <v>0</v>
      </c>
      <c r="G90" s="3"/>
      <c r="H90" s="8">
        <v>250</v>
      </c>
      <c r="I90" s="3"/>
      <c r="J90" s="7">
        <f t="shared" si="13"/>
        <v>5.0880227943421181E-4</v>
      </c>
      <c r="K90" s="3"/>
      <c r="L90" s="8">
        <f t="shared" si="14"/>
        <v>-250</v>
      </c>
      <c r="M90" s="3"/>
      <c r="N90" s="7">
        <f t="shared" si="15"/>
        <v>-1</v>
      </c>
      <c r="O90" s="12"/>
      <c r="P90" s="8">
        <v>511.92</v>
      </c>
      <c r="Q90" s="3"/>
      <c r="R90" s="7">
        <f t="shared" si="16"/>
        <v>5.1516004760339678E-4</v>
      </c>
      <c r="S90" s="3"/>
      <c r="T90" s="8">
        <v>2250</v>
      </c>
      <c r="U90" s="3"/>
      <c r="V90" s="7">
        <f t="shared" si="17"/>
        <v>1.6894606190484057E-3</v>
      </c>
      <c r="W90" s="3"/>
      <c r="X90" s="8">
        <f t="shared" si="18"/>
        <v>-1738.08</v>
      </c>
      <c r="Y90" s="3"/>
      <c r="Z90" s="7">
        <f t="shared" si="19"/>
        <v>-0.77247999999999994</v>
      </c>
    </row>
    <row r="91" spans="1:26" s="70" customFormat="1" ht="15" hidden="1" customHeight="1" outlineLevel="2" x14ac:dyDescent="0.3">
      <c r="A91" s="26"/>
      <c r="B91" s="12" t="str">
        <f>CONCATENATE("          ","6237"," - ","JANITORIAL SUPPLIES")</f>
        <v xml:space="preserve">          6237 - JANITORIAL SUPPLIES</v>
      </c>
      <c r="C91" s="12"/>
      <c r="D91" s="8">
        <v>644.16999999999996</v>
      </c>
      <c r="E91" s="3"/>
      <c r="F91" s="7">
        <f t="shared" ref="F91:F108" si="20">IF(D$12=0,0,D91/D$12)</f>
        <v>2.0774076460288544E-3</v>
      </c>
      <c r="G91" s="3"/>
      <c r="H91" s="8">
        <v>275</v>
      </c>
      <c r="I91" s="3"/>
      <c r="J91" s="7">
        <f t="shared" ref="J91:J108" si="21">IF(H$12=0,0,H91/H$12)</f>
        <v>5.59682507377633E-4</v>
      </c>
      <c r="K91" s="3"/>
      <c r="L91" s="8">
        <f t="shared" ref="L91:L108" si="22">+D91-H91</f>
        <v>369.16999999999996</v>
      </c>
      <c r="M91" s="3"/>
      <c r="N91" s="7">
        <f t="shared" ref="N91:N108" si="23">IF(H91=0,0,L91/H91)</f>
        <v>1.3424363636363634</v>
      </c>
      <c r="O91" s="12"/>
      <c r="P91" s="8">
        <v>7147.01</v>
      </c>
      <c r="Q91" s="3"/>
      <c r="R91" s="7">
        <f t="shared" ref="R91:R108" si="24">IF(P$12=0,0,P91/P$12)</f>
        <v>7.1922449051061745E-3</v>
      </c>
      <c r="S91" s="3"/>
      <c r="T91" s="8">
        <v>3478</v>
      </c>
      <c r="U91" s="3"/>
      <c r="V91" s="7">
        <f t="shared" ref="V91:V108" si="25">IF(T$12=0,0,T91/T$12)</f>
        <v>2.6115306813557131E-3</v>
      </c>
      <c r="W91" s="3"/>
      <c r="X91" s="8">
        <f t="shared" ref="X91:X108" si="26">+P91-T91</f>
        <v>3669.01</v>
      </c>
      <c r="Y91" s="3"/>
      <c r="Z91" s="7">
        <f t="shared" ref="Z91:Z108" si="27">IF(T91=0,0,X91/T91)</f>
        <v>1.0549194939620472</v>
      </c>
    </row>
    <row r="92" spans="1:26" s="70" customFormat="1" ht="15" hidden="1" customHeight="1" outlineLevel="2" x14ac:dyDescent="0.3">
      <c r="A92" s="26"/>
      <c r="B92" s="12" t="str">
        <f>CONCATENATE("          ","6239"," - ","KITCHEN SUPPLIES")</f>
        <v xml:space="preserve">          6239 - KITCHEN SUPPLIES</v>
      </c>
      <c r="C92" s="12"/>
      <c r="D92" s="8">
        <v>1167.4100000000001</v>
      </c>
      <c r="E92" s="3"/>
      <c r="F92" s="7">
        <f t="shared" si="20"/>
        <v>3.764823664639063E-3</v>
      </c>
      <c r="G92" s="3"/>
      <c r="H92" s="8"/>
      <c r="I92" s="3"/>
      <c r="J92" s="7">
        <f t="shared" si="21"/>
        <v>0</v>
      </c>
      <c r="K92" s="3"/>
      <c r="L92" s="8">
        <f t="shared" si="22"/>
        <v>1167.4100000000001</v>
      </c>
      <c r="M92" s="3"/>
      <c r="N92" s="7">
        <f t="shared" si="23"/>
        <v>0</v>
      </c>
      <c r="O92" s="12"/>
      <c r="P92" s="8">
        <v>4699.05</v>
      </c>
      <c r="Q92" s="3"/>
      <c r="R92" s="7">
        <f t="shared" si="24"/>
        <v>4.7287912597490656E-3</v>
      </c>
      <c r="S92" s="3"/>
      <c r="T92" s="8">
        <v>5349</v>
      </c>
      <c r="U92" s="3"/>
      <c r="V92" s="7">
        <f t="shared" si="25"/>
        <v>4.0164110450177431E-3</v>
      </c>
      <c r="W92" s="3"/>
      <c r="X92" s="8">
        <f t="shared" si="26"/>
        <v>-649.94999999999982</v>
      </c>
      <c r="Y92" s="3"/>
      <c r="Z92" s="7">
        <f t="shared" si="27"/>
        <v>-0.12150869321368477</v>
      </c>
    </row>
    <row r="93" spans="1:26" s="70" customFormat="1" ht="15" hidden="1" customHeight="1" outlineLevel="2" x14ac:dyDescent="0.3">
      <c r="A93" s="26"/>
      <c r="B93" s="12" t="str">
        <f>CONCATENATE("          ","6241"," - ","OFFICE EXPENSE")</f>
        <v xml:space="preserve">          6241 - OFFICE EXPENSE</v>
      </c>
      <c r="C93" s="12"/>
      <c r="D93" s="8">
        <v>540.91</v>
      </c>
      <c r="E93" s="3"/>
      <c r="F93" s="7">
        <f t="shared" si="20"/>
        <v>1.7444006548170011E-3</v>
      </c>
      <c r="G93" s="3"/>
      <c r="H93" s="8"/>
      <c r="I93" s="3"/>
      <c r="J93" s="7">
        <f t="shared" si="21"/>
        <v>0</v>
      </c>
      <c r="K93" s="3"/>
      <c r="L93" s="8">
        <f t="shared" si="22"/>
        <v>540.91</v>
      </c>
      <c r="M93" s="3"/>
      <c r="N93" s="7">
        <f t="shared" si="23"/>
        <v>0</v>
      </c>
      <c r="O93" s="12"/>
      <c r="P93" s="8">
        <v>7808.76</v>
      </c>
      <c r="Q93" s="3"/>
      <c r="R93" s="7">
        <f t="shared" si="24"/>
        <v>7.8581832577814901E-3</v>
      </c>
      <c r="S93" s="3"/>
      <c r="T93" s="8">
        <v>3127</v>
      </c>
      <c r="U93" s="3"/>
      <c r="V93" s="7">
        <f t="shared" si="25"/>
        <v>2.347974824784162E-3</v>
      </c>
      <c r="W93" s="3"/>
      <c r="X93" s="8">
        <f t="shared" si="26"/>
        <v>4681.76</v>
      </c>
      <c r="Y93" s="3"/>
      <c r="Z93" s="7">
        <f t="shared" si="27"/>
        <v>1.4972049888071635</v>
      </c>
    </row>
    <row r="94" spans="1:26" s="70" customFormat="1" ht="15" hidden="1" customHeight="1" outlineLevel="2" x14ac:dyDescent="0.3">
      <c r="A94" s="26"/>
      <c r="B94" s="12" t="str">
        <f>CONCATENATE("          ","6243"," - ","PAPER SUPPLIES")</f>
        <v xml:space="preserve">          6243 - PAPER SUPPLIES</v>
      </c>
      <c r="C94" s="12"/>
      <c r="D94" s="8">
        <v>569.65</v>
      </c>
      <c r="E94" s="3"/>
      <c r="F94" s="7">
        <f t="shared" si="20"/>
        <v>1.8370853432484234E-3</v>
      </c>
      <c r="G94" s="3"/>
      <c r="H94" s="8">
        <v>800</v>
      </c>
      <c r="I94" s="3"/>
      <c r="J94" s="7">
        <f t="shared" si="21"/>
        <v>1.6281672941894779E-3</v>
      </c>
      <c r="K94" s="3"/>
      <c r="L94" s="8">
        <f t="shared" si="22"/>
        <v>-230.35000000000002</v>
      </c>
      <c r="M94" s="3"/>
      <c r="N94" s="7">
        <f t="shared" si="23"/>
        <v>-0.28793750000000001</v>
      </c>
      <c r="O94" s="12"/>
      <c r="P94" s="8">
        <v>1866.29</v>
      </c>
      <c r="Q94" s="3"/>
      <c r="R94" s="7">
        <f t="shared" si="24"/>
        <v>1.8781021355714629E-3</v>
      </c>
      <c r="S94" s="3"/>
      <c r="T94" s="8">
        <v>7633</v>
      </c>
      <c r="U94" s="3"/>
      <c r="V94" s="7">
        <f t="shared" si="25"/>
        <v>5.7314012911984357E-3</v>
      </c>
      <c r="W94" s="3"/>
      <c r="X94" s="8">
        <f t="shared" si="26"/>
        <v>-5766.71</v>
      </c>
      <c r="Y94" s="3"/>
      <c r="Z94" s="7">
        <f t="shared" si="27"/>
        <v>-0.75549718328311277</v>
      </c>
    </row>
    <row r="95" spans="1:26" s="70" customFormat="1" ht="15" hidden="1" customHeight="1" outlineLevel="2" x14ac:dyDescent="0.3">
      <c r="A95" s="26"/>
      <c r="B95" s="12" t="str">
        <f>CONCATENATE("          ","6244"," - ","SAFETY SUPPLY EXPENSE")</f>
        <v xml:space="preserve">          6244 - SAFETY SUPPLY EXPENSE</v>
      </c>
      <c r="C95" s="12"/>
      <c r="D95" s="8"/>
      <c r="E95" s="3"/>
      <c r="F95" s="7">
        <f t="shared" si="20"/>
        <v>0</v>
      </c>
      <c r="G95" s="3"/>
      <c r="H95" s="8"/>
      <c r="I95" s="3"/>
      <c r="J95" s="7">
        <f t="shared" si="21"/>
        <v>0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/>
      <c r="Q95" s="3"/>
      <c r="R95" s="7">
        <f t="shared" si="24"/>
        <v>0</v>
      </c>
      <c r="S95" s="3"/>
      <c r="T95" s="8">
        <v>100</v>
      </c>
      <c r="U95" s="3"/>
      <c r="V95" s="7">
        <f t="shared" si="25"/>
        <v>7.5087138624373585E-5</v>
      </c>
      <c r="W95" s="3"/>
      <c r="X95" s="8">
        <f t="shared" si="26"/>
        <v>-100</v>
      </c>
      <c r="Y95" s="3"/>
      <c r="Z95" s="7">
        <f t="shared" si="27"/>
        <v>-1</v>
      </c>
    </row>
    <row r="96" spans="1:26" s="70" customFormat="1" ht="15" hidden="1" customHeight="1" outlineLevel="2" x14ac:dyDescent="0.3">
      <c r="A96" s="26"/>
      <c r="B96" s="12" t="str">
        <f>CONCATENATE("          ","6245"," - ","PRINTING")</f>
        <v xml:space="preserve">          6245 - PRINTING</v>
      </c>
      <c r="C96" s="12"/>
      <c r="D96" s="8"/>
      <c r="E96" s="3"/>
      <c r="F96" s="7">
        <f t="shared" si="20"/>
        <v>0</v>
      </c>
      <c r="G96" s="3"/>
      <c r="H96" s="8">
        <v>100</v>
      </c>
      <c r="I96" s="3"/>
      <c r="J96" s="7">
        <f t="shared" si="21"/>
        <v>2.0352091177368474E-4</v>
      </c>
      <c r="K96" s="3"/>
      <c r="L96" s="8">
        <f t="shared" si="22"/>
        <v>-100</v>
      </c>
      <c r="M96" s="3"/>
      <c r="N96" s="7">
        <f t="shared" si="23"/>
        <v>-1</v>
      </c>
      <c r="O96" s="12"/>
      <c r="P96" s="8">
        <v>1071</v>
      </c>
      <c r="Q96" s="3"/>
      <c r="R96" s="7">
        <f t="shared" si="24"/>
        <v>1.077778580604856E-3</v>
      </c>
      <c r="S96" s="3"/>
      <c r="T96" s="8">
        <v>1600</v>
      </c>
      <c r="U96" s="3"/>
      <c r="V96" s="7">
        <f t="shared" si="25"/>
        <v>1.2013942179899774E-3</v>
      </c>
      <c r="W96" s="3"/>
      <c r="X96" s="8">
        <f t="shared" si="26"/>
        <v>-529</v>
      </c>
      <c r="Y96" s="3"/>
      <c r="Z96" s="7">
        <f t="shared" si="27"/>
        <v>-0.330625</v>
      </c>
    </row>
    <row r="97" spans="1:26" s="70" customFormat="1" ht="15" hidden="1" customHeight="1" outlineLevel="2" x14ac:dyDescent="0.3">
      <c r="A97" s="26"/>
      <c r="B97" s="12" t="str">
        <f>CONCATENATE("          ","6247"," - ","STORE SUPPLIES")</f>
        <v xml:space="preserve">          6247 - STORE SUPPLIES</v>
      </c>
      <c r="C97" s="12"/>
      <c r="D97" s="8">
        <v>1099.0899999999999</v>
      </c>
      <c r="E97" s="3"/>
      <c r="F97" s="7">
        <f t="shared" si="20"/>
        <v>3.5444959710539971E-3</v>
      </c>
      <c r="G97" s="3"/>
      <c r="H97" s="8">
        <v>2500</v>
      </c>
      <c r="I97" s="3"/>
      <c r="J97" s="7">
        <f t="shared" si="21"/>
        <v>5.0880227943421183E-3</v>
      </c>
      <c r="K97" s="3"/>
      <c r="L97" s="8">
        <f t="shared" si="22"/>
        <v>-1400.91</v>
      </c>
      <c r="M97" s="3"/>
      <c r="N97" s="7">
        <f t="shared" si="23"/>
        <v>-0.56036400000000008</v>
      </c>
      <c r="O97" s="12"/>
      <c r="P97" s="8">
        <v>2636.19</v>
      </c>
      <c r="Q97" s="3"/>
      <c r="R97" s="7">
        <f t="shared" si="24"/>
        <v>2.6528749919745242E-3</v>
      </c>
      <c r="S97" s="3"/>
      <c r="T97" s="8">
        <v>13961</v>
      </c>
      <c r="U97" s="3"/>
      <c r="V97" s="7">
        <f t="shared" si="25"/>
        <v>1.0482915423348796E-2</v>
      </c>
      <c r="W97" s="3"/>
      <c r="X97" s="8">
        <f t="shared" si="26"/>
        <v>-11324.81</v>
      </c>
      <c r="Y97" s="3"/>
      <c r="Z97" s="7">
        <f t="shared" si="27"/>
        <v>-0.81117470095265376</v>
      </c>
    </row>
    <row r="98" spans="1:26" s="70" customFormat="1" ht="15" hidden="1" customHeight="1" outlineLevel="2" x14ac:dyDescent="0.3">
      <c r="A98" s="26"/>
      <c r="B98" s="12" t="str">
        <f>CONCATENATE("          ","6248"," - ","UNIFORMS")</f>
        <v xml:space="preserve">          6248 - UNIFORMS</v>
      </c>
      <c r="C98" s="12"/>
      <c r="D98" s="8">
        <v>1522.25</v>
      </c>
      <c r="E98" s="3"/>
      <c r="F98" s="7">
        <f t="shared" si="20"/>
        <v>4.9091602980073949E-3</v>
      </c>
      <c r="G98" s="3"/>
      <c r="H98" s="8">
        <v>500</v>
      </c>
      <c r="I98" s="3"/>
      <c r="J98" s="7">
        <f t="shared" si="21"/>
        <v>1.0176045588684236E-3</v>
      </c>
      <c r="K98" s="3"/>
      <c r="L98" s="8">
        <f t="shared" si="22"/>
        <v>1022.25</v>
      </c>
      <c r="M98" s="3"/>
      <c r="N98" s="7">
        <f t="shared" si="23"/>
        <v>2.0445000000000002</v>
      </c>
      <c r="O98" s="12"/>
      <c r="P98" s="8">
        <v>2124.5</v>
      </c>
      <c r="Q98" s="3"/>
      <c r="R98" s="7">
        <f t="shared" si="24"/>
        <v>2.1379464000887177E-3</v>
      </c>
      <c r="S98" s="3"/>
      <c r="T98" s="8">
        <v>3850</v>
      </c>
      <c r="U98" s="3"/>
      <c r="V98" s="7">
        <f t="shared" si="25"/>
        <v>2.890854837038383E-3</v>
      </c>
      <c r="W98" s="3"/>
      <c r="X98" s="8">
        <f t="shared" si="26"/>
        <v>-1725.5</v>
      </c>
      <c r="Y98" s="3"/>
      <c r="Z98" s="7">
        <f t="shared" si="27"/>
        <v>-0.44818181818181818</v>
      </c>
    </row>
    <row r="99" spans="1:26" s="69" customFormat="1" ht="15" customHeight="1" outlineLevel="1" collapsed="1" x14ac:dyDescent="0.3">
      <c r="A99" s="25"/>
      <c r="B99" s="14" t="str">
        <f>CONCATENATE("     ","Telephone/Data Lines                              ")</f>
        <v xml:space="preserve">     Telephone/Data Lines                              </v>
      </c>
      <c r="C99" s="14"/>
      <c r="D99" s="2">
        <f>SUM(OSRRefD22_17x_0)</f>
        <v>841.3</v>
      </c>
      <c r="E99" s="2"/>
      <c r="F99" s="6">
        <f t="shared" si="20"/>
        <v>2.7131394703324824E-3</v>
      </c>
      <c r="G99" s="2"/>
      <c r="H99" s="2">
        <f>SUM(OSRRefH22_17x_0)</f>
        <v>538</v>
      </c>
      <c r="I99" s="2"/>
      <c r="J99" s="6">
        <f t="shared" si="21"/>
        <v>1.0949425053424239E-3</v>
      </c>
      <c r="K99" s="2"/>
      <c r="L99" s="2">
        <f t="shared" si="22"/>
        <v>303.29999999999995</v>
      </c>
      <c r="M99" s="2"/>
      <c r="N99" s="6">
        <f t="shared" si="23"/>
        <v>0.56375464684014864</v>
      </c>
      <c r="O99" s="14"/>
      <c r="P99" s="2">
        <f>SUM(OSRRefP22_17x_0)</f>
        <v>6217.89</v>
      </c>
      <c r="Q99" s="2"/>
      <c r="R99" s="6">
        <f t="shared" si="24"/>
        <v>6.257244312378272E-3</v>
      </c>
      <c r="S99" s="2"/>
      <c r="T99" s="2">
        <f>SUM(OSRRefT22_17x_0)</f>
        <v>4754</v>
      </c>
      <c r="U99" s="2"/>
      <c r="V99" s="6">
        <f t="shared" si="25"/>
        <v>3.5696425702027202E-3</v>
      </c>
      <c r="W99" s="2"/>
      <c r="X99" s="2">
        <f t="shared" si="26"/>
        <v>1463.8900000000003</v>
      </c>
      <c r="Y99" s="2"/>
      <c r="Z99" s="6">
        <f t="shared" si="27"/>
        <v>0.30792806058056382</v>
      </c>
    </row>
    <row r="100" spans="1:26" s="70" customFormat="1" ht="15" hidden="1" customHeight="1" outlineLevel="2" x14ac:dyDescent="0.3">
      <c r="A100" s="26"/>
      <c r="B100" s="12" t="str">
        <f>CONCATENATE("          ","6303"," - ","DATA PHONE LINES")</f>
        <v xml:space="preserve">          6303 - DATA PHONE LINES</v>
      </c>
      <c r="C100" s="12"/>
      <c r="D100" s="8"/>
      <c r="E100" s="3"/>
      <c r="F100" s="7">
        <f t="shared" si="20"/>
        <v>0</v>
      </c>
      <c r="G100" s="3"/>
      <c r="H100" s="8">
        <v>185</v>
      </c>
      <c r="I100" s="3"/>
      <c r="J100" s="7">
        <f t="shared" si="21"/>
        <v>3.765136867813168E-4</v>
      </c>
      <c r="K100" s="3"/>
      <c r="L100" s="8">
        <f t="shared" si="22"/>
        <v>-185</v>
      </c>
      <c r="M100" s="3"/>
      <c r="N100" s="7">
        <f t="shared" si="23"/>
        <v>-1</v>
      </c>
      <c r="O100" s="12"/>
      <c r="P100" s="8"/>
      <c r="Q100" s="3"/>
      <c r="R100" s="7">
        <f t="shared" si="24"/>
        <v>0</v>
      </c>
      <c r="S100" s="3"/>
      <c r="T100" s="8">
        <v>1480</v>
      </c>
      <c r="U100" s="3"/>
      <c r="V100" s="7">
        <f t="shared" si="25"/>
        <v>1.1112896516407291E-3</v>
      </c>
      <c r="W100" s="3"/>
      <c r="X100" s="8">
        <f t="shared" si="26"/>
        <v>-1480</v>
      </c>
      <c r="Y100" s="3"/>
      <c r="Z100" s="7">
        <f t="shared" si="27"/>
        <v>-1</v>
      </c>
    </row>
    <row r="101" spans="1:26" s="70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8">
        <v>841.3</v>
      </c>
      <c r="E101" s="3"/>
      <c r="F101" s="7">
        <f t="shared" si="20"/>
        <v>2.7131394703324824E-3</v>
      </c>
      <c r="G101" s="3"/>
      <c r="H101" s="8">
        <v>353</v>
      </c>
      <c r="I101" s="3"/>
      <c r="J101" s="7">
        <f t="shared" si="21"/>
        <v>7.1842881856110715E-4</v>
      </c>
      <c r="K101" s="3"/>
      <c r="L101" s="8">
        <f t="shared" si="22"/>
        <v>488.29999999999995</v>
      </c>
      <c r="M101" s="3"/>
      <c r="N101" s="7">
        <f t="shared" si="23"/>
        <v>1.3832861189801697</v>
      </c>
      <c r="O101" s="12"/>
      <c r="P101" s="8">
        <v>6217.89</v>
      </c>
      <c r="Q101" s="3"/>
      <c r="R101" s="7">
        <f t="shared" si="24"/>
        <v>6.257244312378272E-3</v>
      </c>
      <c r="S101" s="3"/>
      <c r="T101" s="8">
        <v>3274</v>
      </c>
      <c r="U101" s="3"/>
      <c r="V101" s="7">
        <f t="shared" si="25"/>
        <v>2.4583529185619912E-3</v>
      </c>
      <c r="W101" s="3"/>
      <c r="X101" s="8">
        <f t="shared" si="26"/>
        <v>2943.8900000000003</v>
      </c>
      <c r="Y101" s="3"/>
      <c r="Z101" s="7">
        <f t="shared" si="27"/>
        <v>0.89917226634086755</v>
      </c>
    </row>
    <row r="102" spans="1:26" s="69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SUM(OSRRefD22_18x_0)</f>
        <v>800</v>
      </c>
      <c r="E102" s="2"/>
      <c r="F102" s="6">
        <f t="shared" si="20"/>
        <v>2.5799495735956092E-3</v>
      </c>
      <c r="G102" s="2"/>
      <c r="H102" s="2">
        <f>SUM(OSRRefH22_18x_0)</f>
        <v>0</v>
      </c>
      <c r="I102" s="2"/>
      <c r="J102" s="6">
        <f t="shared" si="21"/>
        <v>0</v>
      </c>
      <c r="K102" s="2"/>
      <c r="L102" s="2">
        <f t="shared" si="22"/>
        <v>800</v>
      </c>
      <c r="M102" s="2"/>
      <c r="N102" s="6">
        <f t="shared" si="23"/>
        <v>0</v>
      </c>
      <c r="O102" s="14"/>
      <c r="P102" s="2">
        <f>SUM(OSRRefP22_18x_0)</f>
        <v>800</v>
      </c>
      <c r="Q102" s="2"/>
      <c r="R102" s="6">
        <f t="shared" si="24"/>
        <v>8.050633655311717E-4</v>
      </c>
      <c r="S102" s="2"/>
      <c r="T102" s="2">
        <f>SUM(OSRRefT22_18x_0)</f>
        <v>2010</v>
      </c>
      <c r="U102" s="2"/>
      <c r="V102" s="6">
        <f t="shared" si="25"/>
        <v>1.509251486349909E-3</v>
      </c>
      <c r="W102" s="2"/>
      <c r="X102" s="2">
        <f t="shared" si="26"/>
        <v>-1210</v>
      </c>
      <c r="Y102" s="2"/>
      <c r="Z102" s="6">
        <f t="shared" si="27"/>
        <v>-0.60199004975124382</v>
      </c>
    </row>
    <row r="103" spans="1:26" s="70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8">
        <v>800</v>
      </c>
      <c r="E103" s="3"/>
      <c r="F103" s="7">
        <f t="shared" si="20"/>
        <v>2.5799495735956092E-3</v>
      </c>
      <c r="G103" s="3"/>
      <c r="H103" s="8"/>
      <c r="I103" s="3"/>
      <c r="J103" s="7">
        <f t="shared" si="21"/>
        <v>0</v>
      </c>
      <c r="K103" s="3"/>
      <c r="L103" s="8">
        <f t="shared" si="22"/>
        <v>800</v>
      </c>
      <c r="M103" s="3"/>
      <c r="N103" s="7">
        <f t="shared" si="23"/>
        <v>0</v>
      </c>
      <c r="O103" s="12"/>
      <c r="P103" s="8">
        <v>800</v>
      </c>
      <c r="Q103" s="3"/>
      <c r="R103" s="7">
        <f t="shared" si="24"/>
        <v>8.050633655311717E-4</v>
      </c>
      <c r="S103" s="3"/>
      <c r="T103" s="8">
        <v>2010</v>
      </c>
      <c r="U103" s="3"/>
      <c r="V103" s="7">
        <f t="shared" si="25"/>
        <v>1.509251486349909E-3</v>
      </c>
      <c r="W103" s="3"/>
      <c r="X103" s="8">
        <f t="shared" si="26"/>
        <v>-1210</v>
      </c>
      <c r="Y103" s="3"/>
      <c r="Z103" s="7">
        <f t="shared" si="27"/>
        <v>-0.60199004975124382</v>
      </c>
    </row>
    <row r="104" spans="1:26" s="69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SUM(OSRRefD22_19x_0)</f>
        <v>122.65</v>
      </c>
      <c r="E104" s="2"/>
      <c r="F104" s="6">
        <f t="shared" si="20"/>
        <v>3.9553851900187687E-4</v>
      </c>
      <c r="G104" s="2"/>
      <c r="H104" s="2">
        <f>SUM(OSRRefH22_19x_0)</f>
        <v>600</v>
      </c>
      <c r="I104" s="2"/>
      <c r="J104" s="6">
        <f t="shared" si="21"/>
        <v>1.2211254706421084E-3</v>
      </c>
      <c r="K104" s="2"/>
      <c r="L104" s="2">
        <f t="shared" si="22"/>
        <v>-477.35</v>
      </c>
      <c r="M104" s="2"/>
      <c r="N104" s="6">
        <f t="shared" si="23"/>
        <v>-0.79558333333333342</v>
      </c>
      <c r="O104" s="14"/>
      <c r="P104" s="2">
        <f>SUM(OSRRefP22_19x_0)</f>
        <v>141.24</v>
      </c>
      <c r="Q104" s="2"/>
      <c r="R104" s="6">
        <f t="shared" si="24"/>
        <v>1.4213393718452838E-4</v>
      </c>
      <c r="S104" s="2"/>
      <c r="T104" s="2">
        <f>SUM(OSRRefT22_19x_0)</f>
        <v>600</v>
      </c>
      <c r="U104" s="2"/>
      <c r="V104" s="6">
        <f t="shared" si="25"/>
        <v>4.5052283174624151E-4</v>
      </c>
      <c r="W104" s="2"/>
      <c r="X104" s="2">
        <f t="shared" si="26"/>
        <v>-458.76</v>
      </c>
      <c r="Y104" s="2"/>
      <c r="Z104" s="6">
        <f t="shared" si="27"/>
        <v>-0.76459999999999995</v>
      </c>
    </row>
    <row r="105" spans="1:26" s="70" customFormat="1" ht="15" hidden="1" customHeight="1" outlineLevel="2" x14ac:dyDescent="0.3">
      <c r="A105" s="26"/>
      <c r="B105" s="12" t="str">
        <f>CONCATENATE("          ","6292"," - ","TRAVEL/CONFERENCE")</f>
        <v xml:space="preserve">          6292 - TRAVEL/CONFERENCE</v>
      </c>
      <c r="C105" s="12"/>
      <c r="D105" s="8"/>
      <c r="E105" s="3"/>
      <c r="F105" s="7">
        <f t="shared" si="20"/>
        <v>0</v>
      </c>
      <c r="G105" s="3"/>
      <c r="H105" s="8">
        <v>600</v>
      </c>
      <c r="I105" s="3"/>
      <c r="J105" s="7">
        <f t="shared" si="21"/>
        <v>1.2211254706421084E-3</v>
      </c>
      <c r="K105" s="3"/>
      <c r="L105" s="8">
        <f t="shared" si="22"/>
        <v>-600</v>
      </c>
      <c r="M105" s="3"/>
      <c r="N105" s="7">
        <f t="shared" si="23"/>
        <v>-1</v>
      </c>
      <c r="O105" s="12"/>
      <c r="P105" s="8">
        <v>18.59</v>
      </c>
      <c r="Q105" s="3"/>
      <c r="R105" s="7">
        <f t="shared" si="24"/>
        <v>1.8707659956530602E-5</v>
      </c>
      <c r="S105" s="3"/>
      <c r="T105" s="8">
        <v>600</v>
      </c>
      <c r="U105" s="3"/>
      <c r="V105" s="7">
        <f t="shared" si="25"/>
        <v>4.5052283174624151E-4</v>
      </c>
      <c r="W105" s="3"/>
      <c r="X105" s="8">
        <f t="shared" si="26"/>
        <v>-581.41</v>
      </c>
      <c r="Y105" s="3"/>
      <c r="Z105" s="7">
        <f t="shared" si="27"/>
        <v>-0.96901666666666664</v>
      </c>
    </row>
    <row r="106" spans="1:26" s="70" customFormat="1" ht="15" hidden="1" customHeight="1" outlineLevel="2" x14ac:dyDescent="0.3">
      <c r="A106" s="26"/>
      <c r="B106" s="12" t="str">
        <f>CONCATENATE("          ","6298"," - ","VEHICLE MILEAGE")</f>
        <v xml:space="preserve">          6298 - VEHICLE MILEAGE</v>
      </c>
      <c r="C106" s="12"/>
      <c r="D106" s="8">
        <v>122.65</v>
      </c>
      <c r="E106" s="3"/>
      <c r="F106" s="7">
        <f t="shared" si="20"/>
        <v>3.9553851900187687E-4</v>
      </c>
      <c r="G106" s="3"/>
      <c r="H106" s="8"/>
      <c r="I106" s="3"/>
      <c r="J106" s="7">
        <f t="shared" si="21"/>
        <v>0</v>
      </c>
      <c r="K106" s="3"/>
      <c r="L106" s="8">
        <f t="shared" si="22"/>
        <v>122.65</v>
      </c>
      <c r="M106" s="3"/>
      <c r="N106" s="7">
        <f t="shared" si="23"/>
        <v>0</v>
      </c>
      <c r="O106" s="12"/>
      <c r="P106" s="8">
        <v>122.65</v>
      </c>
      <c r="Q106" s="3"/>
      <c r="R106" s="7">
        <f t="shared" si="24"/>
        <v>1.2342627722799777E-4</v>
      </c>
      <c r="S106" s="3"/>
      <c r="T106" s="8"/>
      <c r="U106" s="3"/>
      <c r="V106" s="7">
        <f t="shared" si="25"/>
        <v>0</v>
      </c>
      <c r="W106" s="3"/>
      <c r="X106" s="8">
        <f t="shared" si="26"/>
        <v>122.65</v>
      </c>
      <c r="Y106" s="3"/>
      <c r="Z106" s="7">
        <f t="shared" si="27"/>
        <v>0</v>
      </c>
    </row>
    <row r="107" spans="1:26" s="69" customFormat="1" ht="15" customHeight="1" outlineLevel="1" collapsed="1" x14ac:dyDescent="0.3">
      <c r="A107" s="25"/>
      <c r="B107" s="14" t="str">
        <f>CONCATENATE("     ","Utilities                                         ")</f>
        <v xml:space="preserve">     Utilities                                         </v>
      </c>
      <c r="C107" s="14"/>
      <c r="D107" s="2">
        <f>SUM(OSRRefD22_20x_0)</f>
        <v>8250</v>
      </c>
      <c r="E107" s="2"/>
      <c r="F107" s="6">
        <f t="shared" si="20"/>
        <v>2.6605729977704721E-2</v>
      </c>
      <c r="G107" s="2"/>
      <c r="H107" s="2">
        <f>SUM(OSRRefH22_20x_0)</f>
        <v>8667</v>
      </c>
      <c r="I107" s="2"/>
      <c r="J107" s="6">
        <f t="shared" si="21"/>
        <v>1.7639157423425256E-2</v>
      </c>
      <c r="K107" s="2"/>
      <c r="L107" s="2">
        <f t="shared" si="22"/>
        <v>-417</v>
      </c>
      <c r="M107" s="2"/>
      <c r="N107" s="6">
        <f t="shared" si="23"/>
        <v>-4.8113534094842508E-2</v>
      </c>
      <c r="O107" s="14"/>
      <c r="P107" s="2">
        <f>SUM(OSRRefP22_20x_0)</f>
        <v>63600</v>
      </c>
      <c r="Q107" s="2"/>
      <c r="R107" s="6">
        <f t="shared" si="24"/>
        <v>6.4002537559728151E-2</v>
      </c>
      <c r="S107" s="2"/>
      <c r="T107" s="2">
        <f>SUM(OSRRefT22_20x_0)</f>
        <v>69336</v>
      </c>
      <c r="U107" s="2"/>
      <c r="V107" s="6">
        <f t="shared" si="25"/>
        <v>5.2062418436595669E-2</v>
      </c>
      <c r="W107" s="2"/>
      <c r="X107" s="2">
        <f t="shared" si="26"/>
        <v>-5736</v>
      </c>
      <c r="Y107" s="2"/>
      <c r="Z107" s="6">
        <f t="shared" si="27"/>
        <v>-8.2727587400484595E-2</v>
      </c>
    </row>
    <row r="108" spans="1:26" s="70" customFormat="1" ht="15" hidden="1" customHeight="1" outlineLevel="2" x14ac:dyDescent="0.3">
      <c r="A108" s="26"/>
      <c r="B108" s="12" t="str">
        <f>CONCATENATE("          ","6274"," - ","UTILITIES")</f>
        <v xml:space="preserve">          6274 - UTILITIES</v>
      </c>
      <c r="C108" s="12"/>
      <c r="D108" s="8">
        <v>8250</v>
      </c>
      <c r="E108" s="3"/>
      <c r="F108" s="7">
        <f t="shared" si="20"/>
        <v>2.6605729977704721E-2</v>
      </c>
      <c r="G108" s="3"/>
      <c r="H108" s="8">
        <v>8667</v>
      </c>
      <c r="I108" s="3"/>
      <c r="J108" s="7">
        <f t="shared" si="21"/>
        <v>1.7639157423425256E-2</v>
      </c>
      <c r="K108" s="3"/>
      <c r="L108" s="8">
        <f t="shared" si="22"/>
        <v>-417</v>
      </c>
      <c r="M108" s="3"/>
      <c r="N108" s="7">
        <f t="shared" si="23"/>
        <v>-4.8113534094842508E-2</v>
      </c>
      <c r="O108" s="12"/>
      <c r="P108" s="8">
        <v>63600</v>
      </c>
      <c r="Q108" s="3"/>
      <c r="R108" s="7">
        <f t="shared" si="24"/>
        <v>6.4002537559728151E-2</v>
      </c>
      <c r="S108" s="3"/>
      <c r="T108" s="8">
        <v>69336</v>
      </c>
      <c r="U108" s="3"/>
      <c r="V108" s="7">
        <f t="shared" si="25"/>
        <v>5.2062418436595669E-2</v>
      </c>
      <c r="W108" s="3"/>
      <c r="X108" s="8">
        <f t="shared" si="26"/>
        <v>-5736</v>
      </c>
      <c r="Y108" s="3"/>
      <c r="Z108" s="7">
        <f t="shared" si="27"/>
        <v>-8.2727587400484595E-2</v>
      </c>
    </row>
    <row r="109" spans="1:26" s="65" customFormat="1" ht="15" customHeight="1" x14ac:dyDescent="0.3">
      <c r="A109" s="35"/>
      <c r="B109" s="35"/>
      <c r="C109" s="35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O109" s="35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63" customFormat="1" ht="15" customHeight="1" collapsed="1" x14ac:dyDescent="0.3">
      <c r="A110" s="11"/>
      <c r="B110" s="27" t="s">
        <v>291</v>
      </c>
      <c r="C110" s="11"/>
      <c r="D110" s="5">
        <f>SUM(OSRRefD25x_0)</f>
        <v>2073.62</v>
      </c>
      <c r="E110" s="5"/>
      <c r="F110" s="13">
        <f>IF(D$12=0,0,D110/D$12)</f>
        <v>6.6872937934991583E-3</v>
      </c>
      <c r="G110" s="5"/>
      <c r="H110" s="5">
        <f>SUM(OSRRefH25x_0)</f>
        <v>37154.720000000001</v>
      </c>
      <c r="I110" s="5"/>
      <c r="J110" s="13">
        <f>IF(H$12=0,0,H110/H$12)</f>
        <v>7.5617624910959608E-2</v>
      </c>
      <c r="K110" s="5"/>
      <c r="L110" s="5">
        <f>+D110-H110</f>
        <v>-35081.1</v>
      </c>
      <c r="M110" s="5"/>
      <c r="N110" s="13">
        <f>IF(H110=0,0,L110/H110)</f>
        <v>-0.94418959421575499</v>
      </c>
      <c r="O110" s="11"/>
      <c r="P110" s="5">
        <f>SUM(OSRRefP25x_0)</f>
        <v>143215.47</v>
      </c>
      <c r="Q110" s="5"/>
      <c r="R110" s="13">
        <f>IF(P$12=0,0,P110/P$12)</f>
        <v>0.14412191034291069</v>
      </c>
      <c r="S110" s="5"/>
      <c r="T110" s="5">
        <f>SUM(OSRRefT25x_0)</f>
        <v>84373.31</v>
      </c>
      <c r="U110" s="5"/>
      <c r="V110" s="13">
        <f>IF(T$12=0,0,T110/T$12)</f>
        <v>6.3353504241672465E-2</v>
      </c>
      <c r="W110" s="5"/>
      <c r="X110" s="5">
        <f>+P110-T110</f>
        <v>58842.16</v>
      </c>
      <c r="Y110" s="5"/>
      <c r="Z110" s="13">
        <f>IF(T110=0,0,X110/T110)</f>
        <v>0.69740253167737531</v>
      </c>
    </row>
    <row r="111" spans="1:26" s="70" customFormat="1" ht="15" hidden="1" customHeight="1" outlineLevel="1" x14ac:dyDescent="0.3">
      <c r="A111" s="42"/>
      <c r="B111" s="12" t="str">
        <f>CONCATENATE("          ","9150"," - ","MISC. INCOME")</f>
        <v xml:space="preserve">          9150 - MISC. INCOME</v>
      </c>
      <c r="C111" s="12"/>
      <c r="D111" s="3">
        <f>--2073.62</f>
        <v>2073.62</v>
      </c>
      <c r="E111" s="3"/>
      <c r="F111" s="20">
        <f>IF(D$12=0,0,D111/D$12)</f>
        <v>6.6872937934991583E-3</v>
      </c>
      <c r="G111" s="3"/>
      <c r="H111" s="3"/>
      <c r="I111" s="3"/>
      <c r="J111" s="20">
        <f>IF(H$12=0,0,H111/H$12)</f>
        <v>0</v>
      </c>
      <c r="K111" s="3"/>
      <c r="L111" s="3">
        <f>+D111-H111</f>
        <v>2073.62</v>
      </c>
      <c r="M111" s="3"/>
      <c r="N111" s="20">
        <f>IF(H111=0,0,L111/H111)</f>
        <v>0</v>
      </c>
      <c r="O111" s="12"/>
      <c r="P111" s="3">
        <f>--143215.47</f>
        <v>143215.47</v>
      </c>
      <c r="Q111" s="3"/>
      <c r="R111" s="20">
        <f>IF(P$12=0,0,P111/P$12)</f>
        <v>0.14412191034291069</v>
      </c>
      <c r="S111" s="3"/>
      <c r="T111" s="3">
        <v>1000</v>
      </c>
      <c r="U111" s="3"/>
      <c r="V111" s="20">
        <f>IF(T$12=0,0,T111/T$12)</f>
        <v>7.5087138624373585E-4</v>
      </c>
      <c r="W111" s="3"/>
      <c r="X111" s="3">
        <f>+P111-T111</f>
        <v>142215.47</v>
      </c>
      <c r="Y111" s="3"/>
      <c r="Z111" s="20">
        <f>IF(T111=0,0,X111/T111)</f>
        <v>142.21547000000001</v>
      </c>
    </row>
    <row r="112" spans="1:26" s="70" customFormat="1" ht="15" hidden="1" customHeight="1" outlineLevel="1" x14ac:dyDescent="0.3">
      <c r="A112" s="42"/>
      <c r="B112" s="12" t="str">
        <f>CONCATENATE("          ","9151"," - ","MISC. INCOME")</f>
        <v xml:space="preserve">          9151 - MISC.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>
        <v>16640.22</v>
      </c>
      <c r="I112" s="3"/>
      <c r="J112" s="20">
        <f>IF(H$12=0,0,H112/H$12)</f>
        <v>3.3866327465147048E-2</v>
      </c>
      <c r="K112" s="3"/>
      <c r="L112" s="3">
        <f>+D112-H112</f>
        <v>-16640.22</v>
      </c>
      <c r="M112" s="3"/>
      <c r="N112" s="20">
        <f>IF(H112=0,0,L112/H112)</f>
        <v>-1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>
        <v>32892.22</v>
      </c>
      <c r="U112" s="3"/>
      <c r="V112" s="20">
        <f>IF(T$12=0,0,T112/T$12)</f>
        <v>2.4697826828033936E-2</v>
      </c>
      <c r="W112" s="3"/>
      <c r="X112" s="3">
        <f>+P112-T112</f>
        <v>-32892.22</v>
      </c>
      <c r="Y112" s="3"/>
      <c r="Z112" s="20">
        <f>IF(T112=0,0,X112/T112)</f>
        <v>-1</v>
      </c>
    </row>
    <row r="113" spans="1:26" s="70" customFormat="1" ht="15" hidden="1" customHeight="1" outlineLevel="1" x14ac:dyDescent="0.3">
      <c r="A113" s="42"/>
      <c r="B113" s="12" t="str">
        <f>CONCATENATE("          ","9160"," - ","MISC. INCOME")</f>
        <v xml:space="preserve">          9160 -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v>20514.5</v>
      </c>
      <c r="I113" s="3"/>
      <c r="J113" s="20">
        <f>IF(H$12=0,0,H113/H$12)</f>
        <v>4.175129744581256E-2</v>
      </c>
      <c r="K113" s="3"/>
      <c r="L113" s="3">
        <f>+D113-H113</f>
        <v>-20514.5</v>
      </c>
      <c r="M113" s="3"/>
      <c r="N113" s="20">
        <f>IF(H113=0,0,L113/H113)</f>
        <v>-1</v>
      </c>
      <c r="O113" s="12"/>
      <c r="P113" s="3">
        <f>0</f>
        <v>0</v>
      </c>
      <c r="Q113" s="3"/>
      <c r="R113" s="20">
        <f>IF(P$12=0,0,P113/P$12)</f>
        <v>0</v>
      </c>
      <c r="S113" s="3"/>
      <c r="T113" s="3">
        <v>50481.09</v>
      </c>
      <c r="U113" s="3"/>
      <c r="V113" s="20">
        <f>IF(T$12=0,0,T113/T$12)</f>
        <v>3.7904806027394787E-2</v>
      </c>
      <c r="W113" s="3"/>
      <c r="X113" s="3">
        <f>+P113-T113</f>
        <v>-50481.09</v>
      </c>
      <c r="Y113" s="3"/>
      <c r="Z113" s="20">
        <f>IF(T113=0,0,X113/T113)</f>
        <v>-1</v>
      </c>
    </row>
    <row r="114" spans="1:26" s="70" customFormat="1" ht="15" hidden="1" customHeight="1" outlineLevel="1" x14ac:dyDescent="0.3">
      <c r="A114" s="42"/>
      <c r="B114" s="12" t="str">
        <f>CONCATENATE("          ","9165"," - ","OTHER INCOME")</f>
        <v xml:space="preserve">          9165 - OTHER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/>
      <c r="I114" s="3"/>
      <c r="J114" s="20">
        <f>IF(H$12=0,0,H114/H$12)</f>
        <v>0</v>
      </c>
      <c r="K114" s="3"/>
      <c r="L114" s="3">
        <f>+D114-H114</f>
        <v>0</v>
      </c>
      <c r="M114" s="3"/>
      <c r="N114" s="20">
        <f>IF(H114=0,0,L114/H114)</f>
        <v>0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/>
      <c r="U114" s="3"/>
      <c r="V114" s="20">
        <f>IF(T$12=0,0,T114/T$12)</f>
        <v>0</v>
      </c>
      <c r="W114" s="3"/>
      <c r="X114" s="3">
        <f>+P114-T114</f>
        <v>0</v>
      </c>
      <c r="Y114" s="3"/>
      <c r="Z114" s="20">
        <f>IF(T114=0,0,X114/T114)</f>
        <v>0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11"/>
      <c r="B116" s="28" t="s">
        <v>292</v>
      </c>
      <c r="C116" s="28"/>
      <c r="D116" s="21">
        <f>+D25-D27+D110</f>
        <v>-63312.759999999944</v>
      </c>
      <c r="E116" s="15"/>
      <c r="F116" s="22">
        <f>IF(D$12=0,0,D116/D$12)</f>
        <v>-0.20417966020645123</v>
      </c>
      <c r="G116" s="15"/>
      <c r="H116" s="21">
        <f>+H25-H27+H110</f>
        <v>86206.175754189288</v>
      </c>
      <c r="I116" s="15"/>
      <c r="J116" s="22">
        <f>IF(H$12=0,0,H116/H$12)</f>
        <v>0.17544759490015119</v>
      </c>
      <c r="K116" s="16"/>
      <c r="L116" s="21">
        <f>+D116-H116</f>
        <v>-149518.93575418924</v>
      </c>
      <c r="M116" s="16"/>
      <c r="N116" s="22">
        <f>IF(H116=0,0,L116/H116)</f>
        <v>-1.7344341567886241</v>
      </c>
      <c r="O116" s="27"/>
      <c r="P116" s="21">
        <f>+P25-P27+P110</f>
        <v>-923824.7899999998</v>
      </c>
      <c r="Q116" s="15"/>
      <c r="R116" s="22">
        <f>IF(P$12=0,0,P116/P$12)</f>
        <v>-0.92967186824815973</v>
      </c>
      <c r="S116" s="15"/>
      <c r="T116" s="21">
        <f>+T25-T27+T110</f>
        <v>-813272.04743120028</v>
      </c>
      <c r="U116" s="15"/>
      <c r="V116" s="22">
        <f>IF(T$12=0,0,T116/T$12)</f>
        <v>-0.61066270964794667</v>
      </c>
      <c r="W116" s="16"/>
      <c r="X116" s="21">
        <f>+P116-T116</f>
        <v>-110552.74256879953</v>
      </c>
      <c r="Y116" s="16"/>
      <c r="Z116" s="22">
        <f>IF(T116=0,0,X116/T116)</f>
        <v>0.13593574612331905</v>
      </c>
    </row>
    <row r="117" spans="1:26" ht="15" customHeight="1" x14ac:dyDescent="0.3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3" customFormat="1" ht="15" customHeight="1" x14ac:dyDescent="0.3">
      <c r="A118" s="49"/>
      <c r="B118" s="11" t="s">
        <v>293</v>
      </c>
      <c r="C118" s="11"/>
      <c r="D118" s="5">
        <v>33547.730000000003</v>
      </c>
      <c r="E118" s="5"/>
      <c r="F118" s="13">
        <f>IF(D$12=0,0,D118/D$12)</f>
        <v>0.10818931463575079</v>
      </c>
      <c r="G118" s="5"/>
      <c r="H118" s="5">
        <v>57504</v>
      </c>
      <c r="I118" s="5"/>
      <c r="J118" s="13">
        <f>IF(H$12=0,0,H118/H$12)</f>
        <v>0.11703266510633968</v>
      </c>
      <c r="K118" s="5"/>
      <c r="L118" s="5">
        <f>+D118-H118</f>
        <v>-23956.269999999997</v>
      </c>
      <c r="M118" s="5"/>
      <c r="N118" s="13">
        <f>IF(H118=0,0,L118/H118)</f>
        <v>-0.41660180161380073</v>
      </c>
      <c r="O118" s="11"/>
      <c r="P118" s="5">
        <v>124037.66</v>
      </c>
      <c r="Q118" s="5"/>
      <c r="R118" s="13">
        <f>IF(P$12=0,0,P118/P$12)</f>
        <v>0.124822720015264</v>
      </c>
      <c r="S118" s="5"/>
      <c r="T118" s="5">
        <v>162807</v>
      </c>
      <c r="U118" s="5"/>
      <c r="V118" s="13">
        <f>IF(T$12=0,0,T118/T$12)</f>
        <v>0.12224711778018391</v>
      </c>
      <c r="W118" s="5"/>
      <c r="X118" s="5">
        <f>+P118-T118</f>
        <v>-38769.339999999997</v>
      </c>
      <c r="Y118" s="5"/>
      <c r="Z118" s="13">
        <f>IF(T118=0,0,X118/T118)</f>
        <v>-0.23813067005718425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3">
      <c r="A120" s="11"/>
      <c r="B120" s="28" t="s">
        <v>294</v>
      </c>
      <c r="C120" s="28"/>
      <c r="D120" s="33">
        <f>+D116-D118</f>
        <v>-96860.489999999947</v>
      </c>
      <c r="E120" s="15"/>
      <c r="F120" s="32">
        <f>IF(D$12=0,0,D120/D$12)</f>
        <v>-0.31236897484220205</v>
      </c>
      <c r="G120" s="15"/>
      <c r="H120" s="33">
        <f>+H116-H118</f>
        <v>28702.175754189288</v>
      </c>
      <c r="I120" s="15"/>
      <c r="J120" s="32">
        <f>IF(H$12=0,0,H120/H$12)</f>
        <v>5.8414929793811514E-2</v>
      </c>
      <c r="K120" s="16"/>
      <c r="L120" s="33">
        <f>D120-H120</f>
        <v>-125562.66575418923</v>
      </c>
      <c r="M120" s="16"/>
      <c r="N120" s="32">
        <f>IF(H120=0,0,L120/H120)</f>
        <v>-4.3746741302656282</v>
      </c>
      <c r="O120" s="27"/>
      <c r="P120" s="33">
        <f>+P116-P118</f>
        <v>-1047862.4499999998</v>
      </c>
      <c r="Q120" s="15"/>
      <c r="R120" s="32">
        <f>IF(P$12=0,0,P120/P$12)</f>
        <v>-1.0544945882634238</v>
      </c>
      <c r="S120" s="15"/>
      <c r="T120" s="33">
        <f>+T116-T118</f>
        <v>-976079.04743120028</v>
      </c>
      <c r="U120" s="15"/>
      <c r="V120" s="32">
        <f>IF(T$12=0,0,T120/T$12)</f>
        <v>-0.7329098274281306</v>
      </c>
      <c r="W120" s="16"/>
      <c r="X120" s="33">
        <f>P120-T120</f>
        <v>-71783.40256879956</v>
      </c>
      <c r="Y120" s="16"/>
      <c r="Z120" s="32">
        <f>IF(T120=0,0,X120/T120)</f>
        <v>7.3542611899841306E-2</v>
      </c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3" customFormat="1" ht="15" customHeight="1" x14ac:dyDescent="0.3">
      <c r="A123" s="11"/>
      <c r="B123" s="28" t="s">
        <v>297</v>
      </c>
      <c r="C123" s="28"/>
      <c r="D123" s="34">
        <f>SUM(D120:D122)</f>
        <v>-96860.489999999947</v>
      </c>
      <c r="E123" s="15"/>
      <c r="F123" s="30">
        <f>IF(D$12=0,0,D123/D$12)</f>
        <v>-0.31236897484220205</v>
      </c>
      <c r="G123" s="15"/>
      <c r="H123" s="34">
        <f>SUM(H120:H122)</f>
        <v>28702.175754189288</v>
      </c>
      <c r="I123" s="15"/>
      <c r="J123" s="30">
        <f>IF(H$12=0,0,H123/H$12)</f>
        <v>5.8414929793811514E-2</v>
      </c>
      <c r="K123" s="16"/>
      <c r="L123" s="34">
        <f>+D123-H123</f>
        <v>-125562.66575418923</v>
      </c>
      <c r="M123" s="16"/>
      <c r="N123" s="30">
        <f>IF(H123=0,0,L123/H123)</f>
        <v>-4.3746741302656282</v>
      </c>
      <c r="O123" s="27"/>
      <c r="P123" s="34">
        <f>SUM(P120:P122)</f>
        <v>-1047862.4499999998</v>
      </c>
      <c r="Q123" s="15"/>
      <c r="R123" s="30">
        <f>IF(P$12=0,0,P123/P$12)</f>
        <v>-1.0544945882634238</v>
      </c>
      <c r="S123" s="15"/>
      <c r="T123" s="34">
        <f>SUM(T120:T122)</f>
        <v>-976079.04743120028</v>
      </c>
      <c r="U123" s="15"/>
      <c r="V123" s="30">
        <f>IF(T$12=0,0,T123/T$12)</f>
        <v>-0.7329098274281306</v>
      </c>
      <c r="W123" s="16"/>
      <c r="X123" s="34">
        <f>+P123-T123</f>
        <v>-71783.40256879956</v>
      </c>
      <c r="Y123" s="16"/>
      <c r="Z123" s="30">
        <f>IF(T123=0,0,X123/T123)</f>
        <v>7.3542611899841306E-2</v>
      </c>
    </row>
    <row r="124" spans="1:26" ht="15" customHeight="1" x14ac:dyDescent="0.3">
      <c r="A124" s="10"/>
      <c r="C124" s="10"/>
      <c r="D124" s="19"/>
      <c r="E124" s="19"/>
      <c r="G124" s="19"/>
      <c r="H124" s="19"/>
      <c r="I124" s="19"/>
      <c r="J124" s="41"/>
      <c r="K124" s="19"/>
      <c r="L124" s="19"/>
      <c r="M124" s="19"/>
      <c r="P124" s="19"/>
      <c r="Q124" s="19"/>
      <c r="R124" s="41"/>
      <c r="S124" s="19"/>
      <c r="T124" s="19"/>
      <c r="U124" s="19"/>
      <c r="V124" s="41"/>
      <c r="W124" s="19"/>
      <c r="X124" s="19"/>
    </row>
    <row r="125" spans="1:26" ht="15" customHeight="1" x14ac:dyDescent="0.3">
      <c r="A125" s="10"/>
      <c r="B125" s="57">
        <v>44634.883379050923</v>
      </c>
      <c r="D125" s="19"/>
      <c r="E125" s="19"/>
      <c r="G125" s="19"/>
      <c r="H125" s="19"/>
      <c r="I125" s="19"/>
      <c r="J125" s="41"/>
      <c r="K125" s="19"/>
      <c r="L125" s="19"/>
      <c r="M125" s="19"/>
      <c r="P125" s="19"/>
      <c r="Q125" s="19"/>
      <c r="R125" s="41"/>
      <c r="S125" s="19"/>
      <c r="T125" s="19"/>
      <c r="U125" s="19"/>
      <c r="V125" s="41"/>
      <c r="W125" s="19"/>
      <c r="X125" s="19"/>
    </row>
    <row r="126" spans="1:26" ht="15" customHeight="1" x14ac:dyDescent="0.3">
      <c r="A126" s="10"/>
      <c r="B126" s="56" t="s">
        <v>298</v>
      </c>
      <c r="D126" s="19"/>
      <c r="E126" s="19"/>
      <c r="G126" s="19"/>
      <c r="H126" s="19"/>
      <c r="I126" s="19"/>
      <c r="J126" s="41"/>
      <c r="K126" s="19"/>
      <c r="L126" s="19"/>
      <c r="M126" s="19"/>
      <c r="P126" s="19"/>
      <c r="Q126" s="19"/>
      <c r="R126" s="41"/>
      <c r="S126" s="19"/>
      <c r="T126" s="19"/>
      <c r="U126" s="19"/>
      <c r="V126" s="41"/>
      <c r="W126" s="19"/>
      <c r="X126" s="19"/>
    </row>
    <row r="127" spans="1:26" ht="15" customHeight="1" x14ac:dyDescent="0.3">
      <c r="A127" s="10"/>
      <c r="B127" s="54"/>
      <c r="D127" s="19"/>
      <c r="E127" s="19"/>
      <c r="G127" s="19"/>
      <c r="H127" s="19"/>
      <c r="I127" s="19"/>
      <c r="J127" s="41"/>
      <c r="K127" s="19"/>
      <c r="L127" s="19"/>
      <c r="M127" s="19"/>
      <c r="P127" s="19"/>
      <c r="Q127" s="19"/>
      <c r="R127" s="41"/>
      <c r="S127" s="19"/>
      <c r="T127" s="19"/>
      <c r="U127" s="19"/>
      <c r="V127" s="41"/>
      <c r="W127" s="19"/>
      <c r="X127" s="19"/>
    </row>
    <row r="128" spans="1:26" ht="15" customHeight="1" x14ac:dyDescent="0.3">
      <c r="D128" s="19"/>
      <c r="E128" s="19"/>
      <c r="G128" s="19"/>
      <c r="H128" s="19"/>
      <c r="I128" s="19"/>
      <c r="J128" s="41"/>
      <c r="K128" s="19"/>
      <c r="L128" s="19"/>
      <c r="M128" s="19"/>
      <c r="P128" s="19"/>
      <c r="Q128" s="19"/>
      <c r="R128" s="41"/>
      <c r="S128" s="19"/>
      <c r="T128" s="19"/>
      <c r="U128" s="19"/>
      <c r="V128" s="41"/>
      <c r="W128" s="19"/>
      <c r="X128" s="19"/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A61FD-421B-78A5-2EA1-07A85FA6707B}">
  <sheetPr>
    <tabColor rgb="FFFFFF00"/>
    <outlinePr summaryBelow="0" summaryRight="0"/>
  </sheetPr>
  <dimension ref="A2:Z12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312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216217.62</v>
      </c>
      <c r="E12" s="5"/>
      <c r="F12" s="13"/>
      <c r="G12" s="5"/>
      <c r="H12" s="5">
        <f>SUM(OSRRefH13x_0)</f>
        <v>394768</v>
      </c>
      <c r="I12" s="5"/>
      <c r="J12" s="13"/>
      <c r="K12" s="5"/>
      <c r="L12" s="5">
        <f t="shared" ref="L12:L17" si="0">+D12-H12</f>
        <v>-178550.38</v>
      </c>
      <c r="M12" s="5"/>
      <c r="N12" s="13">
        <f t="shared" ref="N12:N17" si="1">IF(H12=0,0,L12/H12)</f>
        <v>-0.45229192842378307</v>
      </c>
      <c r="O12" s="11"/>
      <c r="P12" s="5">
        <f>SUM(OSRRefP13x_0)</f>
        <v>818603.67999999993</v>
      </c>
      <c r="Q12" s="5"/>
      <c r="R12" s="13"/>
      <c r="S12" s="5"/>
      <c r="T12" s="5">
        <f>SUM(OSRRefT13x_0)</f>
        <v>1046205</v>
      </c>
      <c r="U12" s="5"/>
      <c r="V12" s="13"/>
      <c r="W12" s="5"/>
      <c r="X12" s="5">
        <f t="shared" ref="X12:X17" si="2">+P12-T12</f>
        <v>-227601.32000000007</v>
      </c>
      <c r="Y12" s="5"/>
      <c r="Z12" s="13">
        <f t="shared" ref="Z12:Z17" si="3">IF(T12=0,0,X12/T12)</f>
        <v>-0.21754944776597326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169849</v>
      </c>
      <c r="I13" s="3"/>
      <c r="J13" s="20"/>
      <c r="K13" s="3"/>
      <c r="L13" s="3">
        <f t="shared" si="0"/>
        <v>-169849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390724</v>
      </c>
      <c r="U13" s="3"/>
      <c r="V13" s="20"/>
      <c r="W13" s="3"/>
      <c r="X13" s="3">
        <f t="shared" si="2"/>
        <v>-390724</v>
      </c>
      <c r="Y13" s="3"/>
      <c r="Z13" s="20">
        <f t="shared" si="3"/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--56305.76</f>
        <v>56305.760000000002</v>
      </c>
      <c r="E14" s="3"/>
      <c r="F14" s="20"/>
      <c r="G14" s="3"/>
      <c r="H14" s="3"/>
      <c r="I14" s="3"/>
      <c r="J14" s="20"/>
      <c r="K14" s="3"/>
      <c r="L14" s="3">
        <f t="shared" si="0"/>
        <v>56305.760000000002</v>
      </c>
      <c r="M14" s="3"/>
      <c r="N14" s="20">
        <f t="shared" si="1"/>
        <v>0</v>
      </c>
      <c r="O14" s="12"/>
      <c r="P14" s="3">
        <f>--205665.12</f>
        <v>205665.12</v>
      </c>
      <c r="Q14" s="3"/>
      <c r="R14" s="20"/>
      <c r="S14" s="3"/>
      <c r="T14" s="3"/>
      <c r="U14" s="3"/>
      <c r="V14" s="20"/>
      <c r="W14" s="3"/>
      <c r="X14" s="3">
        <f t="shared" si="2"/>
        <v>205665.12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--5743.27</f>
        <v>5743.27</v>
      </c>
      <c r="E15" s="3"/>
      <c r="F15" s="20"/>
      <c r="G15" s="3"/>
      <c r="H15" s="3"/>
      <c r="I15" s="3"/>
      <c r="J15" s="20"/>
      <c r="K15" s="3"/>
      <c r="L15" s="3">
        <f t="shared" si="0"/>
        <v>5743.27</v>
      </c>
      <c r="M15" s="3"/>
      <c r="N15" s="20">
        <f t="shared" si="1"/>
        <v>0</v>
      </c>
      <c r="O15" s="12"/>
      <c r="P15" s="3">
        <f>--14535.74</f>
        <v>14535.74</v>
      </c>
      <c r="Q15" s="3"/>
      <c r="R15" s="20"/>
      <c r="S15" s="3"/>
      <c r="T15" s="3"/>
      <c r="U15" s="3"/>
      <c r="V15" s="20"/>
      <c r="W15" s="3"/>
      <c r="X15" s="3">
        <f t="shared" si="2"/>
        <v>14535.74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0</f>
        <v>0</v>
      </c>
      <c r="E16" s="3"/>
      <c r="F16" s="20"/>
      <c r="G16" s="3"/>
      <c r="H16" s="3">
        <v>224919</v>
      </c>
      <c r="I16" s="3"/>
      <c r="J16" s="20"/>
      <c r="K16" s="3"/>
      <c r="L16" s="3">
        <f t="shared" si="0"/>
        <v>-224919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v>655481</v>
      </c>
      <c r="U16" s="3"/>
      <c r="V16" s="20"/>
      <c r="W16" s="3"/>
      <c r="X16" s="3">
        <f t="shared" si="2"/>
        <v>-655481</v>
      </c>
      <c r="Y16" s="3"/>
      <c r="Z16" s="20">
        <f t="shared" si="3"/>
        <v>-1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--154168.59</f>
        <v>154168.59</v>
      </c>
      <c r="E17" s="3"/>
      <c r="F17" s="20"/>
      <c r="G17" s="3"/>
      <c r="H17" s="3"/>
      <c r="I17" s="3"/>
      <c r="J17" s="20"/>
      <c r="K17" s="3"/>
      <c r="L17" s="3">
        <f t="shared" si="0"/>
        <v>154168.59</v>
      </c>
      <c r="M17" s="3"/>
      <c r="N17" s="20">
        <f t="shared" si="1"/>
        <v>0</v>
      </c>
      <c r="O17" s="12"/>
      <c r="P17" s="3">
        <f>--598402.82</f>
        <v>598402.81999999995</v>
      </c>
      <c r="Q17" s="3"/>
      <c r="R17" s="20"/>
      <c r="S17" s="3"/>
      <c r="T17" s="3"/>
      <c r="U17" s="3"/>
      <c r="V17" s="20"/>
      <c r="W17" s="3"/>
      <c r="X17" s="3">
        <f t="shared" si="2"/>
        <v>598402.81999999995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7" t="s">
        <v>288</v>
      </c>
      <c r="C19" s="11"/>
      <c r="D19" s="5">
        <f>SUM(OSRRefD16x_0)</f>
        <v>78542.459999999992</v>
      </c>
      <c r="E19" s="5"/>
      <c r="F19" s="13">
        <f>IF(D$12=0,0,D19/D$12)</f>
        <v>0.36325651905704998</v>
      </c>
      <c r="G19" s="5"/>
      <c r="H19" s="5">
        <f>SUM(OSRRefH16x_0)</f>
        <v>133564</v>
      </c>
      <c r="I19" s="5"/>
      <c r="J19" s="13">
        <f>IF(H$12=0,0,H19/H$12)</f>
        <v>0.33833542739026468</v>
      </c>
      <c r="K19" s="5"/>
      <c r="L19" s="5">
        <f>+D19-H19</f>
        <v>-55021.540000000008</v>
      </c>
      <c r="M19" s="5"/>
      <c r="N19" s="13">
        <f>IF(H19=0,0,L19/H19)</f>
        <v>-0.41194887844029837</v>
      </c>
      <c r="O19" s="11"/>
      <c r="P19" s="5">
        <f>SUM(OSRRefP16x_0)</f>
        <v>320930.17</v>
      </c>
      <c r="Q19" s="5"/>
      <c r="R19" s="13">
        <f>IF(P$12=0,0,P19/P$12)</f>
        <v>0.39204584323393221</v>
      </c>
      <c r="S19" s="5"/>
      <c r="T19" s="5">
        <f>SUM(OSRRefT16x_0)</f>
        <v>358366</v>
      </c>
      <c r="U19" s="5"/>
      <c r="V19" s="13">
        <f>IF(T$12=0,0,T19/T$12)</f>
        <v>0.34253898614516276</v>
      </c>
      <c r="W19" s="5"/>
      <c r="X19" s="5">
        <f>+P19-T19</f>
        <v>-37435.830000000016</v>
      </c>
      <c r="Y19" s="5"/>
      <c r="Z19" s="13">
        <f>IF(T19=0,0,X19/T19)</f>
        <v>-0.10446256062238052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133564</v>
      </c>
      <c r="I20" s="3"/>
      <c r="J20" s="20">
        <f>IF(H$12=0,0,H20/H$12)</f>
        <v>0.33833542739026468</v>
      </c>
      <c r="K20" s="3"/>
      <c r="L20" s="3">
        <f>+D20-H20</f>
        <v>-133564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358366</v>
      </c>
      <c r="U20" s="3"/>
      <c r="V20" s="20">
        <f>IF(T$12=0,0,T20/T$12)</f>
        <v>0.34253898614516276</v>
      </c>
      <c r="W20" s="3"/>
      <c r="X20" s="3">
        <f>+P20-T20</f>
        <v>-358366</v>
      </c>
      <c r="Y20" s="3"/>
      <c r="Z20" s="20">
        <f>IF(T20=0,0,X20/T20)</f>
        <v>-1</v>
      </c>
    </row>
    <row r="21" spans="1:26" s="70" customFormat="1" ht="15" hidden="1" customHeight="1" outlineLevel="1" x14ac:dyDescent="0.3">
      <c r="A21" s="42"/>
      <c r="B21" s="12" t="str">
        <f>CONCATENATE("          ","5053"," - ","PURCHASES @ COST-FOOD")</f>
        <v xml:space="preserve">          5053 - PURCHASES @ COST-FOOD</v>
      </c>
      <c r="C21" s="12"/>
      <c r="D21" s="3">
        <v>67997.179999999993</v>
      </c>
      <c r="E21" s="3"/>
      <c r="F21" s="20">
        <f>IF(D$12=0,0,D21/D$12)</f>
        <v>0.31448491570668474</v>
      </c>
      <c r="G21" s="3"/>
      <c r="H21" s="3"/>
      <c r="I21" s="3"/>
      <c r="J21" s="20">
        <f>IF(H$12=0,0,H21/H$12)</f>
        <v>0</v>
      </c>
      <c r="K21" s="3"/>
      <c r="L21" s="3">
        <f>+D21-H21</f>
        <v>67997.179999999993</v>
      </c>
      <c r="M21" s="3"/>
      <c r="N21" s="20">
        <f>IF(H21=0,0,L21/H21)</f>
        <v>0</v>
      </c>
      <c r="O21" s="12"/>
      <c r="P21" s="3">
        <v>297231.68</v>
      </c>
      <c r="Q21" s="3"/>
      <c r="R21" s="20">
        <f>IF(P$12=0,0,P21/P$12)</f>
        <v>0.36309594894564856</v>
      </c>
      <c r="S21" s="3"/>
      <c r="T21" s="3"/>
      <c r="U21" s="3"/>
      <c r="V21" s="20">
        <f>IF(T$12=0,0,T21/T$12)</f>
        <v>0</v>
      </c>
      <c r="W21" s="3"/>
      <c r="X21" s="3">
        <f>+P21-T21</f>
        <v>297231.68</v>
      </c>
      <c r="Y21" s="3"/>
      <c r="Z21" s="20">
        <f>IF(T21=0,0,X21/T21)</f>
        <v>0</v>
      </c>
    </row>
    <row r="22" spans="1:26" s="70" customFormat="1" ht="15" hidden="1" customHeight="1" outlineLevel="1" x14ac:dyDescent="0.3">
      <c r="A22" s="42"/>
      <c r="B22" s="12" t="str">
        <f>CONCATENATE("          ","5059"," - ","PURCHASES @ COST-FOOD")</f>
        <v xml:space="preserve">          5059 - PURCHASES @ COST-FOOD</v>
      </c>
      <c r="C22" s="12"/>
      <c r="D22" s="3">
        <v>10545.28</v>
      </c>
      <c r="E22" s="3"/>
      <c r="F22" s="20">
        <f>IF(D$12=0,0,D22/D$12)</f>
        <v>4.8771603350365254E-2</v>
      </c>
      <c r="G22" s="3"/>
      <c r="H22" s="3"/>
      <c r="I22" s="3"/>
      <c r="J22" s="20">
        <f>IF(H$12=0,0,H22/H$12)</f>
        <v>0</v>
      </c>
      <c r="K22" s="3"/>
      <c r="L22" s="3">
        <f>+D22-H22</f>
        <v>10545.28</v>
      </c>
      <c r="M22" s="3"/>
      <c r="N22" s="20">
        <f>IF(H22=0,0,L22/H22)</f>
        <v>0</v>
      </c>
      <c r="O22" s="12"/>
      <c r="P22" s="3">
        <v>23698.49</v>
      </c>
      <c r="Q22" s="3"/>
      <c r="R22" s="20">
        <f>IF(P$12=0,0,P22/P$12)</f>
        <v>2.8949894288283682E-2</v>
      </c>
      <c r="S22" s="3"/>
      <c r="T22" s="3"/>
      <c r="U22" s="3"/>
      <c r="V22" s="20">
        <f>IF(T$12=0,0,T22/T$12)</f>
        <v>0</v>
      </c>
      <c r="W22" s="3"/>
      <c r="X22" s="3">
        <f>+P22-T22</f>
        <v>23698.49</v>
      </c>
      <c r="Y22" s="3"/>
      <c r="Z22" s="20">
        <f>IF(T22=0,0,X22/T22)</f>
        <v>0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11"/>
      <c r="B24" s="28" t="s">
        <v>289</v>
      </c>
      <c r="C24" s="28"/>
      <c r="D24" s="21">
        <f>D12-D19</f>
        <v>137675.16</v>
      </c>
      <c r="E24" s="15"/>
      <c r="F24" s="22">
        <f>IF(D$12=0,0,D24/D$12)</f>
        <v>0.63674348094294997</v>
      </c>
      <c r="G24" s="15"/>
      <c r="H24" s="21">
        <f>H12-H19</f>
        <v>261204</v>
      </c>
      <c r="I24" s="15"/>
      <c r="J24" s="22">
        <f>IF(H$12=0,0,H24/H$12)</f>
        <v>0.66166457260973532</v>
      </c>
      <c r="K24" s="16"/>
      <c r="L24" s="21">
        <f>+D24-H24</f>
        <v>-123528.84</v>
      </c>
      <c r="M24" s="16"/>
      <c r="N24" s="22">
        <f>IF(H24=0,0,L24/H24)</f>
        <v>-0.47292093536086738</v>
      </c>
      <c r="O24" s="27"/>
      <c r="P24" s="21">
        <f>P12-P19</f>
        <v>497673.50999999995</v>
      </c>
      <c r="Q24" s="15"/>
      <c r="R24" s="22">
        <f>IF(P$12=0,0,P24/P$12)</f>
        <v>0.60795415676606779</v>
      </c>
      <c r="S24" s="15"/>
      <c r="T24" s="21">
        <f>T12-T19</f>
        <v>687839</v>
      </c>
      <c r="U24" s="15"/>
      <c r="V24" s="22">
        <f>IF(T$12=0,0,T24/T$12)</f>
        <v>0.65746101385483724</v>
      </c>
      <c r="W24" s="16"/>
      <c r="X24" s="21">
        <f>+P24-T24</f>
        <v>-190165.49000000005</v>
      </c>
      <c r="Y24" s="16"/>
      <c r="Z24" s="22">
        <f>IF(T24=0,0,X24/T24)</f>
        <v>-0.27646802522101838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7" t="s">
        <v>290</v>
      </c>
      <c r="C26" s="11"/>
      <c r="D26" s="23" cm="1">
        <f t="array" ref="D26">SUM(OSRRefD22x_0)</f>
        <v>197097.52999999994</v>
      </c>
      <c r="E26" s="23"/>
      <c r="F26" s="29">
        <f t="shared" ref="F26:F57" si="4">IF(D$12=0,0,D26/D$12)</f>
        <v>0.91157015788074969</v>
      </c>
      <c r="G26" s="23"/>
      <c r="H26" s="23" cm="1">
        <f t="array" ref="H26">SUM(OSRRefH22x_0)</f>
        <v>215927.30427850303</v>
      </c>
      <c r="I26" s="23"/>
      <c r="J26" s="29">
        <f t="shared" ref="J26:J57" si="5">IF(H$12=0,0,H26/H$12)</f>
        <v>0.54697266312999793</v>
      </c>
      <c r="K26" s="5"/>
      <c r="L26" s="23">
        <f t="shared" ref="L26:L57" si="6">+D26-H26</f>
        <v>-18829.774278503086</v>
      </c>
      <c r="M26" s="5"/>
      <c r="N26" s="29">
        <f t="shared" ref="N26:N57" si="7">IF(H26=0,0,L26/H26)</f>
        <v>-8.7204229874589853E-2</v>
      </c>
      <c r="O26" s="11"/>
      <c r="P26" s="23" cm="1">
        <f t="array" ref="P26">SUM(OSRRefP22x_0)</f>
        <v>1438104.6399999997</v>
      </c>
      <c r="Q26" s="23"/>
      <c r="R26" s="29">
        <f t="shared" ref="R26:R57" si="8">IF(P$12=0,0,P26/P$12)</f>
        <v>1.756777638722562</v>
      </c>
      <c r="S26" s="23"/>
      <c r="T26" s="23" cm="1">
        <f t="array" ref="T26">SUM(OSRRefT22x_0)</f>
        <v>1443236.6463642586</v>
      </c>
      <c r="U26" s="23"/>
      <c r="V26" s="29">
        <f t="shared" ref="V26:V57" si="9">IF(T$12=0,0,T26/T$12)</f>
        <v>1.3794969880322294</v>
      </c>
      <c r="W26" s="5"/>
      <c r="X26" s="23">
        <f t="shared" ref="X26:X57" si="10">+P26-T26</f>
        <v>-5132.0063642589375</v>
      </c>
      <c r="Y26" s="5"/>
      <c r="Z26" s="29">
        <f t="shared" ref="Z26:Z57" si="11">IF(T26=0,0,X26/T26)</f>
        <v>-3.5559008130698964E-3</v>
      </c>
    </row>
    <row r="27" spans="1:26" s="69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29321.059999999998</v>
      </c>
      <c r="E27" s="2"/>
      <c r="F27" s="6">
        <f t="shared" si="4"/>
        <v>0.13560902205842429</v>
      </c>
      <c r="G27" s="2"/>
      <c r="H27" s="2">
        <f>SUM(OSRRefH22_0x_0)</f>
        <v>31781.716078503017</v>
      </c>
      <c r="I27" s="2"/>
      <c r="J27" s="6">
        <f t="shared" si="5"/>
        <v>8.050732602060709E-2</v>
      </c>
      <c r="K27" s="2"/>
      <c r="L27" s="2">
        <f t="shared" si="6"/>
        <v>-2460.6560785030197</v>
      </c>
      <c r="M27" s="2"/>
      <c r="N27" s="6">
        <f t="shared" si="7"/>
        <v>-7.7423637931477038E-2</v>
      </c>
      <c r="O27" s="14"/>
      <c r="P27" s="2">
        <f>SUM(OSRRefP22_0x_0)</f>
        <v>244903.81</v>
      </c>
      <c r="Q27" s="2"/>
      <c r="R27" s="6">
        <f t="shared" si="8"/>
        <v>0.29917262282524804</v>
      </c>
      <c r="S27" s="2"/>
      <c r="T27" s="2">
        <f>SUM(OSRRefT22_0x_0)</f>
        <v>228098.31498925854</v>
      </c>
      <c r="U27" s="2"/>
      <c r="V27" s="6">
        <f t="shared" si="9"/>
        <v>0.21802449327737733</v>
      </c>
      <c r="W27" s="2"/>
      <c r="X27" s="2">
        <f t="shared" si="10"/>
        <v>16805.495010741462</v>
      </c>
      <c r="Y27" s="2"/>
      <c r="Z27" s="6">
        <f t="shared" si="11"/>
        <v>7.3676541676920573E-2</v>
      </c>
    </row>
    <row r="28" spans="1:26" s="70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8">
        <v>4519.47</v>
      </c>
      <c r="E28" s="3"/>
      <c r="F28" s="7">
        <f t="shared" si="4"/>
        <v>2.0902413041083333E-2</v>
      </c>
      <c r="G28" s="3"/>
      <c r="H28" s="8">
        <v>3913.87440696461</v>
      </c>
      <c r="I28" s="3"/>
      <c r="J28" s="7">
        <f t="shared" si="5"/>
        <v>9.9143659236934356E-3</v>
      </c>
      <c r="K28" s="3"/>
      <c r="L28" s="8">
        <f t="shared" si="6"/>
        <v>605.59559303539027</v>
      </c>
      <c r="M28" s="3"/>
      <c r="N28" s="7">
        <f t="shared" si="7"/>
        <v>0.154730461447039</v>
      </c>
      <c r="O28" s="12"/>
      <c r="P28" s="8">
        <v>34697.53</v>
      </c>
      <c r="Q28" s="3"/>
      <c r="R28" s="7">
        <f t="shared" si="8"/>
        <v>4.238623750139995E-2</v>
      </c>
      <c r="S28" s="3"/>
      <c r="T28" s="8">
        <v>29398.877366950401</v>
      </c>
      <c r="U28" s="3"/>
      <c r="V28" s="7">
        <f t="shared" si="9"/>
        <v>2.8100494039839611E-2</v>
      </c>
      <c r="W28" s="3"/>
      <c r="X28" s="8">
        <f t="shared" si="10"/>
        <v>5298.6526330495981</v>
      </c>
      <c r="Y28" s="3"/>
      <c r="Z28" s="7">
        <f t="shared" si="11"/>
        <v>0.18023316220252111</v>
      </c>
    </row>
    <row r="29" spans="1:26" s="70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8">
        <v>2286.44</v>
      </c>
      <c r="E29" s="3"/>
      <c r="F29" s="7">
        <f t="shared" si="4"/>
        <v>1.0574716343654139E-2</v>
      </c>
      <c r="G29" s="3"/>
      <c r="H29" s="8">
        <v>3630.3646839769199</v>
      </c>
      <c r="I29" s="3"/>
      <c r="J29" s="7">
        <f t="shared" si="5"/>
        <v>9.1961979795143478E-3</v>
      </c>
      <c r="K29" s="3"/>
      <c r="L29" s="8">
        <f t="shared" si="6"/>
        <v>-1343.9246839769198</v>
      </c>
      <c r="M29" s="3"/>
      <c r="N29" s="7">
        <f t="shared" si="7"/>
        <v>-0.37018999493590926</v>
      </c>
      <c r="O29" s="12"/>
      <c r="P29" s="8">
        <v>15892.61</v>
      </c>
      <c r="Q29" s="3"/>
      <c r="R29" s="7">
        <f t="shared" si="8"/>
        <v>1.9414290930136059E-2</v>
      </c>
      <c r="S29" s="3"/>
      <c r="T29" s="8">
        <v>21646.601263473101</v>
      </c>
      <c r="U29" s="3"/>
      <c r="V29" s="7">
        <f t="shared" si="9"/>
        <v>2.0690592439792488E-2</v>
      </c>
      <c r="W29" s="3"/>
      <c r="X29" s="8">
        <f t="shared" si="10"/>
        <v>-5753.9912634731008</v>
      </c>
      <c r="Y29" s="3"/>
      <c r="Z29" s="7">
        <f t="shared" si="11"/>
        <v>-0.26581499762655575</v>
      </c>
    </row>
    <row r="30" spans="1:26" s="70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8">
        <v>11880.48</v>
      </c>
      <c r="E30" s="3"/>
      <c r="F30" s="7">
        <f t="shared" si="4"/>
        <v>5.4946863257490298E-2</v>
      </c>
      <c r="G30" s="3"/>
      <c r="H30" s="8">
        <v>14850.461538461501</v>
      </c>
      <c r="I30" s="3"/>
      <c r="J30" s="7">
        <f t="shared" si="5"/>
        <v>3.7618199900856963E-2</v>
      </c>
      <c r="K30" s="3"/>
      <c r="L30" s="8">
        <f t="shared" si="6"/>
        <v>-2969.9815384615013</v>
      </c>
      <c r="M30" s="3"/>
      <c r="N30" s="7">
        <f t="shared" si="7"/>
        <v>-0.19999254102436398</v>
      </c>
      <c r="O30" s="12"/>
      <c r="P30" s="8">
        <v>98692.52</v>
      </c>
      <c r="Q30" s="3"/>
      <c r="R30" s="7">
        <f t="shared" si="8"/>
        <v>0.12056202825767899</v>
      </c>
      <c r="S30" s="3"/>
      <c r="T30" s="8">
        <v>107502.334615385</v>
      </c>
      <c r="U30" s="3"/>
      <c r="V30" s="7">
        <f t="shared" si="9"/>
        <v>0.10275456016305122</v>
      </c>
      <c r="W30" s="3"/>
      <c r="X30" s="8">
        <f t="shared" si="10"/>
        <v>-8809.8146153849957</v>
      </c>
      <c r="Y30" s="3"/>
      <c r="Z30" s="7">
        <f t="shared" si="11"/>
        <v>-8.1949984127360473E-2</v>
      </c>
    </row>
    <row r="31" spans="1:26" s="70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8">
        <v>195.25</v>
      </c>
      <c r="E31" s="3"/>
      <c r="F31" s="7">
        <f t="shared" si="4"/>
        <v>9.0302538710767427E-4</v>
      </c>
      <c r="G31" s="3"/>
      <c r="H31" s="8">
        <v>201.15477140769201</v>
      </c>
      <c r="I31" s="3"/>
      <c r="J31" s="7">
        <f t="shared" si="5"/>
        <v>5.0955186693878943E-4</v>
      </c>
      <c r="K31" s="3"/>
      <c r="L31" s="8">
        <f t="shared" si="6"/>
        <v>-5.9047714076920101</v>
      </c>
      <c r="M31" s="3"/>
      <c r="N31" s="7">
        <f t="shared" si="7"/>
        <v>-2.9354369107777556E-2</v>
      </c>
      <c r="O31" s="12"/>
      <c r="P31" s="8">
        <v>1399.65</v>
      </c>
      <c r="Q31" s="3"/>
      <c r="R31" s="7">
        <f t="shared" si="8"/>
        <v>1.7098017443557061E-3</v>
      </c>
      <c r="S31" s="3"/>
      <c r="T31" s="8">
        <v>1199.4159011423101</v>
      </c>
      <c r="U31" s="3"/>
      <c r="V31" s="7">
        <f t="shared" si="9"/>
        <v>1.146444435977949E-3</v>
      </c>
      <c r="W31" s="3"/>
      <c r="X31" s="8">
        <f t="shared" si="10"/>
        <v>200.23409885769001</v>
      </c>
      <c r="Y31" s="3"/>
      <c r="Z31" s="7">
        <f t="shared" si="11"/>
        <v>0.16694300839849574</v>
      </c>
    </row>
    <row r="32" spans="1:26" s="70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8">
        <v>3154.69</v>
      </c>
      <c r="E32" s="3"/>
      <c r="F32" s="7">
        <f t="shared" si="4"/>
        <v>1.4590346522175205E-2</v>
      </c>
      <c r="G32" s="3"/>
      <c r="H32" s="8">
        <v>2801.24234307692</v>
      </c>
      <c r="I32" s="3"/>
      <c r="J32" s="7">
        <f t="shared" si="5"/>
        <v>7.0959204978035704E-3</v>
      </c>
      <c r="K32" s="3"/>
      <c r="L32" s="8">
        <f t="shared" si="6"/>
        <v>353.4476569230801</v>
      </c>
      <c r="M32" s="3"/>
      <c r="N32" s="7">
        <f t="shared" si="7"/>
        <v>0.12617532281582206</v>
      </c>
      <c r="O32" s="12"/>
      <c r="P32" s="8">
        <v>27361.13</v>
      </c>
      <c r="Q32" s="3"/>
      <c r="R32" s="7">
        <f t="shared" si="8"/>
        <v>3.3424147323647513E-2</v>
      </c>
      <c r="S32" s="3"/>
      <c r="T32" s="8">
        <v>21570.083301923099</v>
      </c>
      <c r="U32" s="3"/>
      <c r="V32" s="7">
        <f t="shared" si="9"/>
        <v>2.0617453846925888E-2</v>
      </c>
      <c r="W32" s="3"/>
      <c r="X32" s="8">
        <f t="shared" si="10"/>
        <v>5791.0466980769015</v>
      </c>
      <c r="Y32" s="3"/>
      <c r="Z32" s="7">
        <f t="shared" si="11"/>
        <v>0.26847586154479969</v>
      </c>
    </row>
    <row r="33" spans="1:26" s="70" customFormat="1" ht="15" hidden="1" customHeight="1" outlineLevel="2" x14ac:dyDescent="0.3">
      <c r="A33" s="26"/>
      <c r="B33" s="12" t="str">
        <f>CONCATENATE("          ","6116"," - ","EDUCATIONAL BENEFITS")</f>
        <v xml:space="preserve">          6116 - EDUCATIONAL BENEFITS</v>
      </c>
      <c r="C33" s="12"/>
      <c r="D33" s="8"/>
      <c r="E33" s="3"/>
      <c r="F33" s="7">
        <f t="shared" si="4"/>
        <v>0</v>
      </c>
      <c r="G33" s="3"/>
      <c r="H33" s="8">
        <v>0</v>
      </c>
      <c r="I33" s="3"/>
      <c r="J33" s="7">
        <f t="shared" si="5"/>
        <v>0</v>
      </c>
      <c r="K33" s="3"/>
      <c r="L33" s="8">
        <f t="shared" si="6"/>
        <v>0</v>
      </c>
      <c r="M33" s="3"/>
      <c r="N33" s="7">
        <f t="shared" si="7"/>
        <v>0</v>
      </c>
      <c r="O33" s="12"/>
      <c r="P33" s="8"/>
      <c r="Q33" s="3"/>
      <c r="R33" s="7">
        <f t="shared" si="8"/>
        <v>0</v>
      </c>
      <c r="S33" s="3"/>
      <c r="T33" s="8">
        <v>0</v>
      </c>
      <c r="U33" s="3"/>
      <c r="V33" s="7">
        <f t="shared" si="9"/>
        <v>0</v>
      </c>
      <c r="W33" s="3"/>
      <c r="X33" s="8">
        <f t="shared" si="10"/>
        <v>0</v>
      </c>
      <c r="Y33" s="3"/>
      <c r="Z33" s="7">
        <f t="shared" si="11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3126.34</v>
      </c>
      <c r="E34" s="3"/>
      <c r="F34" s="7">
        <f t="shared" si="4"/>
        <v>1.4459228623458163E-2</v>
      </c>
      <c r="G34" s="3"/>
      <c r="H34" s="8">
        <v>2467.1208723076902</v>
      </c>
      <c r="I34" s="3"/>
      <c r="J34" s="7">
        <f t="shared" si="5"/>
        <v>6.2495462456624911E-3</v>
      </c>
      <c r="K34" s="3"/>
      <c r="L34" s="8">
        <f t="shared" si="6"/>
        <v>659.21912769230994</v>
      </c>
      <c r="M34" s="3"/>
      <c r="N34" s="7">
        <f t="shared" si="7"/>
        <v>0.26720179586324483</v>
      </c>
      <c r="O34" s="12"/>
      <c r="P34" s="8">
        <v>28840.94</v>
      </c>
      <c r="Q34" s="3"/>
      <c r="R34" s="7">
        <f t="shared" si="8"/>
        <v>3.523187191144804E-2</v>
      </c>
      <c r="S34" s="3"/>
      <c r="T34" s="8">
        <v>20026.756592692302</v>
      </c>
      <c r="U34" s="3"/>
      <c r="V34" s="7">
        <f t="shared" si="9"/>
        <v>1.9142287212059111E-2</v>
      </c>
      <c r="W34" s="3"/>
      <c r="X34" s="8">
        <f t="shared" si="10"/>
        <v>8814.1834073076971</v>
      </c>
      <c r="Y34" s="3"/>
      <c r="Z34" s="7">
        <f t="shared" si="11"/>
        <v>0.44012036429922774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2205.6</v>
      </c>
      <c r="E35" s="3"/>
      <c r="F35" s="7">
        <f t="shared" si="4"/>
        <v>1.0200833771086741E-2</v>
      </c>
      <c r="G35" s="3"/>
      <c r="H35" s="8">
        <v>1956.4974623076901</v>
      </c>
      <c r="I35" s="3"/>
      <c r="J35" s="7">
        <f t="shared" si="5"/>
        <v>4.9560690387966859E-3</v>
      </c>
      <c r="K35" s="3"/>
      <c r="L35" s="8">
        <f t="shared" si="6"/>
        <v>249.10253769230985</v>
      </c>
      <c r="M35" s="3"/>
      <c r="N35" s="7">
        <f t="shared" si="7"/>
        <v>0.12732065463478456</v>
      </c>
      <c r="O35" s="12"/>
      <c r="P35" s="8">
        <v>25765.21</v>
      </c>
      <c r="Q35" s="3"/>
      <c r="R35" s="7">
        <f t="shared" si="8"/>
        <v>3.1474583647119692E-2</v>
      </c>
      <c r="S35" s="3"/>
      <c r="T35" s="8">
        <v>10450.2459476923</v>
      </c>
      <c r="U35" s="3"/>
      <c r="V35" s="7">
        <f t="shared" si="9"/>
        <v>9.9887172663983628E-3</v>
      </c>
      <c r="W35" s="3"/>
      <c r="X35" s="8">
        <f t="shared" si="10"/>
        <v>15314.9640523077</v>
      </c>
      <c r="Y35" s="3"/>
      <c r="Z35" s="7">
        <f t="shared" si="11"/>
        <v>1.4655123074581478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1952.79</v>
      </c>
      <c r="E36" s="3"/>
      <c r="F36" s="7">
        <f t="shared" si="4"/>
        <v>9.0315951123687323E-3</v>
      </c>
      <c r="G36" s="3"/>
      <c r="H36" s="8">
        <v>1961</v>
      </c>
      <c r="I36" s="3"/>
      <c r="J36" s="7">
        <f t="shared" si="5"/>
        <v>4.9674745673408179E-3</v>
      </c>
      <c r="K36" s="3"/>
      <c r="L36" s="8">
        <f t="shared" si="6"/>
        <v>-8.2100000000000364</v>
      </c>
      <c r="M36" s="3"/>
      <c r="N36" s="7">
        <f t="shared" si="7"/>
        <v>-4.1866394696583563E-3</v>
      </c>
      <c r="O36" s="12"/>
      <c r="P36" s="8">
        <v>12254.22</v>
      </c>
      <c r="Q36" s="3"/>
      <c r="R36" s="7">
        <f t="shared" si="8"/>
        <v>1.4969661509462063E-2</v>
      </c>
      <c r="S36" s="3"/>
      <c r="T36" s="8">
        <v>16304</v>
      </c>
      <c r="U36" s="3"/>
      <c r="V36" s="7">
        <f t="shared" si="9"/>
        <v>1.5583943873332664E-2</v>
      </c>
      <c r="W36" s="3"/>
      <c r="X36" s="8">
        <f t="shared" si="10"/>
        <v>-4049.7800000000007</v>
      </c>
      <c r="Y36" s="3"/>
      <c r="Z36" s="7">
        <f t="shared" si="11"/>
        <v>-0.24839180569185479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80099.55</v>
      </c>
      <c r="E37" s="2"/>
      <c r="F37" s="6">
        <f t="shared" si="4"/>
        <v>0.37045801355134705</v>
      </c>
      <c r="G37" s="2"/>
      <c r="H37" s="2">
        <f>SUM(OSRRefH22_1x_0)</f>
        <v>91483.588199999998</v>
      </c>
      <c r="I37" s="2"/>
      <c r="J37" s="6">
        <f t="shared" si="5"/>
        <v>0.23174013141895999</v>
      </c>
      <c r="K37" s="2"/>
      <c r="L37" s="2">
        <f t="shared" si="6"/>
        <v>-11384.038199999995</v>
      </c>
      <c r="M37" s="2"/>
      <c r="N37" s="6">
        <f t="shared" si="7"/>
        <v>-0.12443803772882615</v>
      </c>
      <c r="O37" s="14"/>
      <c r="P37" s="2">
        <f>SUM(OSRRefP22_1x_0)</f>
        <v>529290.89</v>
      </c>
      <c r="Q37" s="2"/>
      <c r="R37" s="6">
        <f t="shared" si="8"/>
        <v>0.64657770656491553</v>
      </c>
      <c r="S37" s="2"/>
      <c r="T37" s="2">
        <f>SUM(OSRRefT22_1x_0)</f>
        <v>541306.3313750003</v>
      </c>
      <c r="U37" s="2"/>
      <c r="V37" s="6">
        <f t="shared" si="9"/>
        <v>0.51739987036479496</v>
      </c>
      <c r="W37" s="2"/>
      <c r="X37" s="2">
        <f t="shared" si="10"/>
        <v>-12015.441375000286</v>
      </c>
      <c r="Y37" s="2"/>
      <c r="Z37" s="6">
        <f t="shared" si="11"/>
        <v>-2.2197119594886763E-2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>
        <v>10936.46</v>
      </c>
      <c r="E38" s="3"/>
      <c r="F38" s="7">
        <f t="shared" si="4"/>
        <v>5.0580799104161814E-2</v>
      </c>
      <c r="G38" s="3"/>
      <c r="H38" s="8">
        <v>10268.307692307701</v>
      </c>
      <c r="I38" s="3"/>
      <c r="J38" s="7">
        <f t="shared" si="5"/>
        <v>2.601099301946384E-2</v>
      </c>
      <c r="K38" s="3"/>
      <c r="L38" s="8">
        <f t="shared" si="6"/>
        <v>668.15230769229856</v>
      </c>
      <c r="M38" s="3"/>
      <c r="N38" s="7">
        <f t="shared" si="7"/>
        <v>6.5069369531342694E-2</v>
      </c>
      <c r="O38" s="12"/>
      <c r="P38" s="8">
        <v>89196.29</v>
      </c>
      <c r="Q38" s="3"/>
      <c r="R38" s="7">
        <f t="shared" si="8"/>
        <v>0.10896150625660515</v>
      </c>
      <c r="S38" s="3"/>
      <c r="T38" s="8">
        <v>89847.692307692298</v>
      </c>
      <c r="U38" s="3"/>
      <c r="V38" s="7">
        <f t="shared" si="9"/>
        <v>8.5879624268372159E-2</v>
      </c>
      <c r="W38" s="3"/>
      <c r="X38" s="8">
        <f t="shared" si="10"/>
        <v>-651.40230769230402</v>
      </c>
      <c r="Y38" s="3"/>
      <c r="Z38" s="7">
        <f t="shared" si="11"/>
        <v>-7.2500727727264546E-3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20429.349999999999</v>
      </c>
      <c r="E39" s="3"/>
      <c r="F39" s="7">
        <f t="shared" si="4"/>
        <v>9.4485130305291487E-2</v>
      </c>
      <c r="G39" s="3"/>
      <c r="H39" s="8">
        <v>19788.263807692299</v>
      </c>
      <c r="I39" s="3"/>
      <c r="J39" s="7">
        <f t="shared" si="5"/>
        <v>5.0126311675952204E-2</v>
      </c>
      <c r="K39" s="3"/>
      <c r="L39" s="8">
        <f t="shared" si="6"/>
        <v>641.08619230769909</v>
      </c>
      <c r="M39" s="3"/>
      <c r="N39" s="7">
        <f t="shared" si="7"/>
        <v>3.2397293594726054E-2</v>
      </c>
      <c r="O39" s="12"/>
      <c r="P39" s="8">
        <v>180188.44</v>
      </c>
      <c r="Q39" s="3"/>
      <c r="R39" s="7">
        <f t="shared" si="8"/>
        <v>0.22011682136586536</v>
      </c>
      <c r="S39" s="3"/>
      <c r="T39" s="8">
        <v>140661.86831730799</v>
      </c>
      <c r="U39" s="3"/>
      <c r="V39" s="7">
        <f t="shared" si="9"/>
        <v>0.13444962346510292</v>
      </c>
      <c r="W39" s="3"/>
      <c r="X39" s="8">
        <f t="shared" si="10"/>
        <v>39526.571682692011</v>
      </c>
      <c r="Y39" s="3"/>
      <c r="Z39" s="7">
        <f t="shared" si="11"/>
        <v>0.2810041708924777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4"/>
        <v>0</v>
      </c>
      <c r="G40" s="3"/>
      <c r="H40" s="8">
        <v>0</v>
      </c>
      <c r="I40" s="3"/>
      <c r="J40" s="7">
        <f t="shared" si="5"/>
        <v>0</v>
      </c>
      <c r="K40" s="3"/>
      <c r="L40" s="8">
        <f t="shared" si="6"/>
        <v>0</v>
      </c>
      <c r="M40" s="3"/>
      <c r="N40" s="7">
        <f t="shared" si="7"/>
        <v>0</v>
      </c>
      <c r="O40" s="12"/>
      <c r="P40" s="8"/>
      <c r="Q40" s="3"/>
      <c r="R40" s="7">
        <f t="shared" si="8"/>
        <v>0</v>
      </c>
      <c r="S40" s="3"/>
      <c r="T40" s="8">
        <v>0</v>
      </c>
      <c r="U40" s="3"/>
      <c r="V40" s="7">
        <f t="shared" si="9"/>
        <v>0</v>
      </c>
      <c r="W40" s="3"/>
      <c r="X40" s="8">
        <f t="shared" si="10"/>
        <v>0</v>
      </c>
      <c r="Y40" s="3"/>
      <c r="Z40" s="7">
        <f t="shared" si="11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8">
        <v>15764.86</v>
      </c>
      <c r="E41" s="3"/>
      <c r="F41" s="7">
        <f t="shared" si="4"/>
        <v>7.2912004118813267E-2</v>
      </c>
      <c r="G41" s="3"/>
      <c r="H41" s="8">
        <v>16485.679199999999</v>
      </c>
      <c r="I41" s="3"/>
      <c r="J41" s="7">
        <f t="shared" si="5"/>
        <v>4.1760424350504595E-2</v>
      </c>
      <c r="K41" s="3"/>
      <c r="L41" s="8">
        <f t="shared" si="6"/>
        <v>-720.81919999999809</v>
      </c>
      <c r="M41" s="3"/>
      <c r="N41" s="7">
        <f t="shared" si="7"/>
        <v>-4.3723961339730437E-2</v>
      </c>
      <c r="O41" s="12"/>
      <c r="P41" s="8">
        <v>80730.16</v>
      </c>
      <c r="Q41" s="3"/>
      <c r="R41" s="7">
        <f t="shared" si="8"/>
        <v>9.8619346543861133E-2</v>
      </c>
      <c r="S41" s="3"/>
      <c r="T41" s="8">
        <v>114190.05839999999</v>
      </c>
      <c r="U41" s="3"/>
      <c r="V41" s="7">
        <f t="shared" si="9"/>
        <v>0.10914692474228281</v>
      </c>
      <c r="W41" s="3"/>
      <c r="X41" s="8">
        <f t="shared" si="10"/>
        <v>-33459.898399999991</v>
      </c>
      <c r="Y41" s="3"/>
      <c r="Z41" s="7">
        <f t="shared" si="11"/>
        <v>-0.29301936498527958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8">
        <v>15345.36</v>
      </c>
      <c r="E42" s="3"/>
      <c r="F42" s="7">
        <f t="shared" si="4"/>
        <v>7.0971829215398824E-2</v>
      </c>
      <c r="G42" s="3"/>
      <c r="H42" s="8">
        <v>13448.070299999999</v>
      </c>
      <c r="I42" s="3"/>
      <c r="J42" s="7">
        <f t="shared" si="5"/>
        <v>3.4065755836339313E-2</v>
      </c>
      <c r="K42" s="3"/>
      <c r="L42" s="8">
        <f t="shared" si="6"/>
        <v>1897.2897000000012</v>
      </c>
      <c r="M42" s="3"/>
      <c r="N42" s="7">
        <f t="shared" si="7"/>
        <v>0.14108267265676036</v>
      </c>
      <c r="O42" s="12"/>
      <c r="P42" s="8">
        <v>81057.84</v>
      </c>
      <c r="Q42" s="3"/>
      <c r="R42" s="7">
        <f t="shared" si="8"/>
        <v>9.9019637927843185E-2</v>
      </c>
      <c r="S42" s="3"/>
      <c r="T42" s="8">
        <v>78385.583599999998</v>
      </c>
      <c r="U42" s="3"/>
      <c r="V42" s="7">
        <f t="shared" si="9"/>
        <v>7.4923732538078103E-2</v>
      </c>
      <c r="W42" s="3"/>
      <c r="X42" s="8">
        <f t="shared" si="10"/>
        <v>2672.2563999999984</v>
      </c>
      <c r="Y42" s="3"/>
      <c r="Z42" s="7">
        <f t="shared" si="11"/>
        <v>3.4091171836347703E-2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8"/>
      <c r="E43" s="3"/>
      <c r="F43" s="7">
        <f t="shared" si="4"/>
        <v>0</v>
      </c>
      <c r="G43" s="3"/>
      <c r="H43" s="8">
        <v>0</v>
      </c>
      <c r="I43" s="3"/>
      <c r="J43" s="7">
        <f t="shared" si="5"/>
        <v>0</v>
      </c>
      <c r="K43" s="3"/>
      <c r="L43" s="8">
        <f t="shared" si="6"/>
        <v>0</v>
      </c>
      <c r="M43" s="3"/>
      <c r="N43" s="7">
        <f t="shared" si="7"/>
        <v>0</v>
      </c>
      <c r="O43" s="12"/>
      <c r="P43" s="8"/>
      <c r="Q43" s="3"/>
      <c r="R43" s="7">
        <f t="shared" si="8"/>
        <v>0</v>
      </c>
      <c r="S43" s="3"/>
      <c r="T43" s="8">
        <v>0</v>
      </c>
      <c r="U43" s="3"/>
      <c r="V43" s="7">
        <f t="shared" si="9"/>
        <v>0</v>
      </c>
      <c r="W43" s="3"/>
      <c r="X43" s="8">
        <f t="shared" si="10"/>
        <v>0</v>
      </c>
      <c r="Y43" s="3"/>
      <c r="Z43" s="7">
        <f t="shared" si="11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8">
        <v>16481.919999999998</v>
      </c>
      <c r="E44" s="3"/>
      <c r="F44" s="7">
        <f t="shared" si="4"/>
        <v>7.6228385087209818E-2</v>
      </c>
      <c r="G44" s="3"/>
      <c r="H44" s="8">
        <v>1415.6956</v>
      </c>
      <c r="I44" s="3"/>
      <c r="J44" s="7">
        <f t="shared" si="5"/>
        <v>3.5861457868925548E-3</v>
      </c>
      <c r="K44" s="3"/>
      <c r="L44" s="8">
        <f t="shared" si="6"/>
        <v>15066.224399999999</v>
      </c>
      <c r="M44" s="3"/>
      <c r="N44" s="7">
        <f t="shared" si="7"/>
        <v>10.642276771927524</v>
      </c>
      <c r="O44" s="12"/>
      <c r="P44" s="8">
        <v>96976.56</v>
      </c>
      <c r="Q44" s="3"/>
      <c r="R44" s="7">
        <f t="shared" si="8"/>
        <v>0.1184658246344556</v>
      </c>
      <c r="S44" s="3"/>
      <c r="T44" s="8">
        <v>14161.6512</v>
      </c>
      <c r="U44" s="3"/>
      <c r="V44" s="7">
        <f t="shared" si="9"/>
        <v>1.3536210589702783E-2</v>
      </c>
      <c r="W44" s="3"/>
      <c r="X44" s="8">
        <f t="shared" si="10"/>
        <v>82814.908800000005</v>
      </c>
      <c r="Y44" s="3"/>
      <c r="Z44" s="7">
        <f t="shared" si="11"/>
        <v>5.8478285921912834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8">
        <v>1141.5999999999999</v>
      </c>
      <c r="E45" s="3"/>
      <c r="F45" s="7">
        <f t="shared" si="4"/>
        <v>5.2798657204718097E-3</v>
      </c>
      <c r="G45" s="3"/>
      <c r="H45" s="8">
        <v>30077.571599999999</v>
      </c>
      <c r="I45" s="3"/>
      <c r="J45" s="7">
        <f t="shared" si="5"/>
        <v>7.6190500749807474E-2</v>
      </c>
      <c r="K45" s="3"/>
      <c r="L45" s="8">
        <f t="shared" si="6"/>
        <v>-28935.971600000001</v>
      </c>
      <c r="M45" s="3"/>
      <c r="N45" s="7">
        <f t="shared" si="7"/>
        <v>-0.96204480816529758</v>
      </c>
      <c r="O45" s="12"/>
      <c r="P45" s="8">
        <v>1141.5999999999999</v>
      </c>
      <c r="Q45" s="3"/>
      <c r="R45" s="7">
        <f t="shared" si="8"/>
        <v>1.3945698362851239E-3</v>
      </c>
      <c r="S45" s="3"/>
      <c r="T45" s="8">
        <v>104059.47755</v>
      </c>
      <c r="U45" s="3"/>
      <c r="V45" s="7">
        <f t="shared" si="9"/>
        <v>9.9463754761256157E-2</v>
      </c>
      <c r="W45" s="3"/>
      <c r="X45" s="8">
        <f t="shared" si="10"/>
        <v>-102917.87754999999</v>
      </c>
      <c r="Y45" s="3"/>
      <c r="Z45" s="7">
        <f t="shared" si="11"/>
        <v>-0.98902935103194733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4"/>
        <v>0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0</v>
      </c>
      <c r="U46" s="3"/>
      <c r="V46" s="7">
        <f t="shared" si="9"/>
        <v>0</v>
      </c>
      <c r="W46" s="3"/>
      <c r="X46" s="8">
        <f t="shared" si="10"/>
        <v>0</v>
      </c>
      <c r="Y46" s="3"/>
      <c r="Z46" s="7">
        <f t="shared" si="11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4"/>
        <v>0</v>
      </c>
      <c r="G47" s="3"/>
      <c r="H47" s="8">
        <v>0</v>
      </c>
      <c r="I47" s="3"/>
      <c r="J47" s="7">
        <f t="shared" si="5"/>
        <v>0</v>
      </c>
      <c r="K47" s="3"/>
      <c r="L47" s="8">
        <f t="shared" si="6"/>
        <v>0</v>
      </c>
      <c r="M47" s="3"/>
      <c r="N47" s="7">
        <f t="shared" si="7"/>
        <v>0</v>
      </c>
      <c r="O47" s="12"/>
      <c r="P47" s="8"/>
      <c r="Q47" s="3"/>
      <c r="R47" s="7">
        <f t="shared" si="8"/>
        <v>0</v>
      </c>
      <c r="S47" s="3"/>
      <c r="T47" s="8">
        <v>0</v>
      </c>
      <c r="U47" s="3"/>
      <c r="V47" s="7">
        <f t="shared" si="9"/>
        <v>0</v>
      </c>
      <c r="W47" s="3"/>
      <c r="X47" s="8">
        <f t="shared" si="10"/>
        <v>0</v>
      </c>
      <c r="Y47" s="3"/>
      <c r="Z47" s="7">
        <f t="shared" si="11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153.55000000000001</v>
      </c>
      <c r="E48" s="2"/>
      <c r="F48" s="6">
        <f t="shared" si="4"/>
        <v>7.1016413925932597E-4</v>
      </c>
      <c r="G48" s="2"/>
      <c r="H48" s="2">
        <f>SUM(OSRRefH22_2x_0)</f>
        <v>0</v>
      </c>
      <c r="I48" s="2"/>
      <c r="J48" s="6">
        <f t="shared" si="5"/>
        <v>0</v>
      </c>
      <c r="K48" s="2"/>
      <c r="L48" s="2">
        <f t="shared" si="6"/>
        <v>153.55000000000001</v>
      </c>
      <c r="M48" s="2"/>
      <c r="N48" s="6">
        <f t="shared" si="7"/>
        <v>0</v>
      </c>
      <c r="O48" s="14"/>
      <c r="P48" s="2">
        <f>SUM(OSRRefP22_2x_0)</f>
        <v>1328.84</v>
      </c>
      <c r="Q48" s="2"/>
      <c r="R48" s="6">
        <f t="shared" si="8"/>
        <v>1.6233007894613911E-3</v>
      </c>
      <c r="S48" s="2"/>
      <c r="T48" s="2">
        <f>SUM(OSRRefT22_2x_0)</f>
        <v>0</v>
      </c>
      <c r="U48" s="2"/>
      <c r="V48" s="6">
        <f t="shared" si="9"/>
        <v>0</v>
      </c>
      <c r="W48" s="2"/>
      <c r="X48" s="2">
        <f t="shared" si="10"/>
        <v>1328.84</v>
      </c>
      <c r="Y48" s="2"/>
      <c r="Z48" s="6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>
        <v>153.55000000000001</v>
      </c>
      <c r="E49" s="3"/>
      <c r="F49" s="7">
        <f t="shared" si="4"/>
        <v>7.1016413925932597E-4</v>
      </c>
      <c r="G49" s="3"/>
      <c r="H49" s="8"/>
      <c r="I49" s="3"/>
      <c r="J49" s="7">
        <f t="shared" si="5"/>
        <v>0</v>
      </c>
      <c r="K49" s="3"/>
      <c r="L49" s="8">
        <f t="shared" si="6"/>
        <v>153.55000000000001</v>
      </c>
      <c r="M49" s="3"/>
      <c r="N49" s="7">
        <f t="shared" si="7"/>
        <v>0</v>
      </c>
      <c r="O49" s="12"/>
      <c r="P49" s="8">
        <v>1328.84</v>
      </c>
      <c r="Q49" s="3"/>
      <c r="R49" s="7">
        <f t="shared" si="8"/>
        <v>1.6233007894613911E-3</v>
      </c>
      <c r="S49" s="3"/>
      <c r="T49" s="8"/>
      <c r="U49" s="3"/>
      <c r="V49" s="7">
        <f t="shared" si="9"/>
        <v>0</v>
      </c>
      <c r="W49" s="3"/>
      <c r="X49" s="8">
        <f t="shared" si="10"/>
        <v>1328.84</v>
      </c>
      <c r="Y49" s="3"/>
      <c r="Z49" s="7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0.56000000000000005</v>
      </c>
      <c r="E50" s="2"/>
      <c r="F50" s="6">
        <f t="shared" si="4"/>
        <v>2.5899831845341747E-6</v>
      </c>
      <c r="G50" s="2"/>
      <c r="H50" s="2">
        <f>SUM(OSRRefH22_3x_0)</f>
        <v>10</v>
      </c>
      <c r="I50" s="2"/>
      <c r="J50" s="6">
        <f t="shared" si="5"/>
        <v>2.5331333846715032E-5</v>
      </c>
      <c r="K50" s="2"/>
      <c r="L50" s="2">
        <f t="shared" si="6"/>
        <v>-9.44</v>
      </c>
      <c r="M50" s="2"/>
      <c r="N50" s="6">
        <f t="shared" si="7"/>
        <v>-0.94399999999999995</v>
      </c>
      <c r="O50" s="14"/>
      <c r="P50" s="2">
        <f>SUM(OSRRefP22_3x_0)</f>
        <v>-81.39</v>
      </c>
      <c r="Q50" s="2"/>
      <c r="R50" s="6">
        <f t="shared" si="8"/>
        <v>-9.9425402045590617E-5</v>
      </c>
      <c r="S50" s="2"/>
      <c r="T50" s="2">
        <f>SUM(OSRRefT22_3x_0)</f>
        <v>60</v>
      </c>
      <c r="U50" s="2"/>
      <c r="V50" s="6">
        <f t="shared" si="9"/>
        <v>5.7350136923451904E-5</v>
      </c>
      <c r="W50" s="2"/>
      <c r="X50" s="2">
        <f t="shared" si="10"/>
        <v>-141.38999999999999</v>
      </c>
      <c r="Y50" s="2"/>
      <c r="Z50" s="6">
        <f t="shared" si="11"/>
        <v>-2.3564999999999996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8">
        <v>0.56000000000000005</v>
      </c>
      <c r="E51" s="3"/>
      <c r="F51" s="7">
        <f t="shared" si="4"/>
        <v>2.5899831845341747E-6</v>
      </c>
      <c r="G51" s="3"/>
      <c r="H51" s="8">
        <v>10</v>
      </c>
      <c r="I51" s="3"/>
      <c r="J51" s="7">
        <f t="shared" si="5"/>
        <v>2.5331333846715032E-5</v>
      </c>
      <c r="K51" s="3"/>
      <c r="L51" s="8">
        <f t="shared" si="6"/>
        <v>-9.44</v>
      </c>
      <c r="M51" s="3"/>
      <c r="N51" s="7">
        <f t="shared" si="7"/>
        <v>-0.94399999999999995</v>
      </c>
      <c r="O51" s="12"/>
      <c r="P51" s="8">
        <v>-81.39</v>
      </c>
      <c r="Q51" s="3"/>
      <c r="R51" s="7">
        <f t="shared" si="8"/>
        <v>-9.9425402045590617E-5</v>
      </c>
      <c r="S51" s="3"/>
      <c r="T51" s="8">
        <v>60</v>
      </c>
      <c r="U51" s="3"/>
      <c r="V51" s="7">
        <f t="shared" si="9"/>
        <v>5.7350136923451904E-5</v>
      </c>
      <c r="W51" s="3"/>
      <c r="X51" s="8">
        <f t="shared" si="10"/>
        <v>-141.38999999999999</v>
      </c>
      <c r="Y51" s="3"/>
      <c r="Z51" s="7">
        <f t="shared" si="11"/>
        <v>-2.3564999999999996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6237.34</v>
      </c>
      <c r="E52" s="2"/>
      <c r="F52" s="6">
        <f t="shared" si="4"/>
        <v>2.8847510207539978E-2</v>
      </c>
      <c r="G52" s="2"/>
      <c r="H52" s="2">
        <f>SUM(OSRRefH22_4x_0)</f>
        <v>17875</v>
      </c>
      <c r="I52" s="2"/>
      <c r="J52" s="6">
        <f t="shared" si="5"/>
        <v>4.5279759251003124E-2</v>
      </c>
      <c r="K52" s="2"/>
      <c r="L52" s="2">
        <f t="shared" si="6"/>
        <v>-11637.66</v>
      </c>
      <c r="M52" s="2"/>
      <c r="N52" s="6">
        <f t="shared" si="7"/>
        <v>-0.65105790209790204</v>
      </c>
      <c r="O52" s="14"/>
      <c r="P52" s="2">
        <f>SUM(OSRRefP22_4x_0)</f>
        <v>29333.66</v>
      </c>
      <c r="Q52" s="2"/>
      <c r="R52" s="6">
        <f t="shared" si="8"/>
        <v>3.5833774898251132E-2</v>
      </c>
      <c r="S52" s="2"/>
      <c r="T52" s="2">
        <f>SUM(OSRRefT22_4x_0)</f>
        <v>51390</v>
      </c>
      <c r="U52" s="2"/>
      <c r="V52" s="6">
        <f t="shared" si="9"/>
        <v>4.9120392274936558E-2</v>
      </c>
      <c r="W52" s="2"/>
      <c r="X52" s="2">
        <f t="shared" si="10"/>
        <v>-22056.34</v>
      </c>
      <c r="Y52" s="2"/>
      <c r="Z52" s="6">
        <f t="shared" si="11"/>
        <v>-0.42919517415839659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8">
        <v>6237.34</v>
      </c>
      <c r="E53" s="3"/>
      <c r="F53" s="7">
        <f t="shared" si="4"/>
        <v>2.8847510207539978E-2</v>
      </c>
      <c r="G53" s="3"/>
      <c r="H53" s="8">
        <v>17875</v>
      </c>
      <c r="I53" s="3"/>
      <c r="J53" s="7">
        <f t="shared" si="5"/>
        <v>4.5279759251003124E-2</v>
      </c>
      <c r="K53" s="3"/>
      <c r="L53" s="8">
        <f t="shared" si="6"/>
        <v>-11637.66</v>
      </c>
      <c r="M53" s="3"/>
      <c r="N53" s="7">
        <f t="shared" si="7"/>
        <v>-0.65105790209790204</v>
      </c>
      <c r="O53" s="12"/>
      <c r="P53" s="8">
        <v>29333.66</v>
      </c>
      <c r="Q53" s="3"/>
      <c r="R53" s="7">
        <f t="shared" si="8"/>
        <v>3.5833774898251132E-2</v>
      </c>
      <c r="S53" s="3"/>
      <c r="T53" s="8">
        <v>51390</v>
      </c>
      <c r="U53" s="3"/>
      <c r="V53" s="7">
        <f t="shared" si="9"/>
        <v>4.9120392274936558E-2</v>
      </c>
      <c r="W53" s="3"/>
      <c r="X53" s="8">
        <f t="shared" si="10"/>
        <v>-22056.34</v>
      </c>
      <c r="Y53" s="3"/>
      <c r="Z53" s="7">
        <f t="shared" si="11"/>
        <v>-0.42919517415839659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32782.04</v>
      </c>
      <c r="E54" s="2"/>
      <c r="F54" s="6">
        <f t="shared" si="4"/>
        <v>0.15161595063344052</v>
      </c>
      <c r="G54" s="2"/>
      <c r="H54" s="2">
        <f>SUM(OSRRefH22_5x_0)</f>
        <v>32783</v>
      </c>
      <c r="I54" s="2"/>
      <c r="J54" s="6">
        <f t="shared" si="5"/>
        <v>8.3043711749685889E-2</v>
      </c>
      <c r="K54" s="2"/>
      <c r="L54" s="2">
        <f t="shared" si="6"/>
        <v>-0.95999999999912689</v>
      </c>
      <c r="M54" s="2"/>
      <c r="N54" s="6">
        <f t="shared" si="7"/>
        <v>-2.9283470091179176E-5</v>
      </c>
      <c r="O54" s="14"/>
      <c r="P54" s="2">
        <f>SUM(OSRRefP22_5x_0)</f>
        <v>262344.45999999996</v>
      </c>
      <c r="Q54" s="2"/>
      <c r="R54" s="6">
        <f t="shared" si="8"/>
        <v>0.32047798758979434</v>
      </c>
      <c r="S54" s="2"/>
      <c r="T54" s="2">
        <f>SUM(OSRRefT22_5x_0)</f>
        <v>262352</v>
      </c>
      <c r="U54" s="2"/>
      <c r="V54" s="6">
        <f t="shared" si="9"/>
        <v>0.25076538536902426</v>
      </c>
      <c r="W54" s="2"/>
      <c r="X54" s="2">
        <f t="shared" si="10"/>
        <v>-7.5400000000372529</v>
      </c>
      <c r="Y54" s="2"/>
      <c r="Z54" s="6">
        <f t="shared" si="11"/>
        <v>-2.8740013417230488E-5</v>
      </c>
    </row>
    <row r="55" spans="1:26" s="70" customFormat="1" ht="15" hidden="1" customHeight="1" outlineLevel="2" x14ac:dyDescent="0.3">
      <c r="A55" s="26"/>
      <c r="B55" s="12" t="str">
        <f>CONCATENATE("          ","6321"," - ","BUILDING DEPRECIATION")</f>
        <v xml:space="preserve">          6321 - BUILDING DEPRECIATION</v>
      </c>
      <c r="C55" s="12"/>
      <c r="D55" s="8">
        <v>23539.4</v>
      </c>
      <c r="E55" s="3"/>
      <c r="F55" s="7">
        <f t="shared" si="4"/>
        <v>0.10886901816789955</v>
      </c>
      <c r="G55" s="3"/>
      <c r="H55" s="8"/>
      <c r="I55" s="3"/>
      <c r="J55" s="7">
        <f t="shared" si="5"/>
        <v>0</v>
      </c>
      <c r="K55" s="3"/>
      <c r="L55" s="8">
        <f t="shared" si="6"/>
        <v>23539.4</v>
      </c>
      <c r="M55" s="3"/>
      <c r="N55" s="7">
        <f t="shared" si="7"/>
        <v>0</v>
      </c>
      <c r="O55" s="12"/>
      <c r="P55" s="8">
        <v>188403.34</v>
      </c>
      <c r="Q55" s="3"/>
      <c r="R55" s="7">
        <f t="shared" si="8"/>
        <v>0.23015208043042271</v>
      </c>
      <c r="S55" s="3"/>
      <c r="T55" s="8"/>
      <c r="U55" s="3"/>
      <c r="V55" s="7">
        <f t="shared" si="9"/>
        <v>0</v>
      </c>
      <c r="W55" s="3"/>
      <c r="X55" s="8">
        <f t="shared" si="10"/>
        <v>188403.34</v>
      </c>
      <c r="Y55" s="3"/>
      <c r="Z55" s="7">
        <f t="shared" si="11"/>
        <v>0</v>
      </c>
    </row>
    <row r="56" spans="1:26" s="70" customFormat="1" ht="15" hidden="1" customHeight="1" outlineLevel="2" x14ac:dyDescent="0.3">
      <c r="A56" s="26"/>
      <c r="B56" s="12" t="str">
        <f>CONCATENATE("          ","6322"," - ","EQUIPMENT DEPRECIATION EXPENSE")</f>
        <v xml:space="preserve">          6322 - EQUIPMENT DEPRECIATION EXPENSE</v>
      </c>
      <c r="C56" s="12"/>
      <c r="D56" s="8">
        <v>9242.64</v>
      </c>
      <c r="E56" s="3"/>
      <c r="F56" s="7">
        <f t="shared" si="4"/>
        <v>4.2746932465540968E-2</v>
      </c>
      <c r="G56" s="3"/>
      <c r="H56" s="8">
        <v>32783</v>
      </c>
      <c r="I56" s="3"/>
      <c r="J56" s="7">
        <f t="shared" si="5"/>
        <v>8.3043711749685889E-2</v>
      </c>
      <c r="K56" s="3"/>
      <c r="L56" s="8">
        <f t="shared" si="6"/>
        <v>-23540.36</v>
      </c>
      <c r="M56" s="3"/>
      <c r="N56" s="7">
        <f t="shared" si="7"/>
        <v>-0.71806607082939333</v>
      </c>
      <c r="O56" s="12"/>
      <c r="P56" s="8">
        <v>73941.119999999995</v>
      </c>
      <c r="Q56" s="3"/>
      <c r="R56" s="7">
        <f t="shared" si="8"/>
        <v>9.0325907159371679E-2</v>
      </c>
      <c r="S56" s="3"/>
      <c r="T56" s="8">
        <v>262352</v>
      </c>
      <c r="U56" s="3"/>
      <c r="V56" s="7">
        <f t="shared" si="9"/>
        <v>0.25076538536902426</v>
      </c>
      <c r="W56" s="3"/>
      <c r="X56" s="8">
        <f t="shared" si="10"/>
        <v>-188410.88</v>
      </c>
      <c r="Y56" s="3"/>
      <c r="Z56" s="7">
        <f t="shared" si="11"/>
        <v>-0.71816063914130635</v>
      </c>
    </row>
    <row r="57" spans="1:26" s="69" customFormat="1" ht="15" customHeight="1" outlineLevel="1" collapsed="1" x14ac:dyDescent="0.3">
      <c r="A57" s="25"/>
      <c r="B57" s="14" t="str">
        <f>CONCATENATE("     ","Employees' Appreciation                           ")</f>
        <v xml:space="preserve">     Employees' Appreciation                           </v>
      </c>
      <c r="C57" s="14"/>
      <c r="D57" s="2">
        <f>SUM(OSRRefD22_6x_0)</f>
        <v>0</v>
      </c>
      <c r="E57" s="2"/>
      <c r="F57" s="6">
        <f t="shared" si="4"/>
        <v>0</v>
      </c>
      <c r="G57" s="2"/>
      <c r="H57" s="2">
        <f>SUM(OSRRefH22_6x_0)</f>
        <v>0</v>
      </c>
      <c r="I57" s="2"/>
      <c r="J57" s="6">
        <f t="shared" si="5"/>
        <v>0</v>
      </c>
      <c r="K57" s="2"/>
      <c r="L57" s="2">
        <f t="shared" si="6"/>
        <v>0</v>
      </c>
      <c r="M57" s="2"/>
      <c r="N57" s="6">
        <f t="shared" si="7"/>
        <v>0</v>
      </c>
      <c r="O57" s="14"/>
      <c r="P57" s="2">
        <f>SUM(OSRRefP22_6x_0)</f>
        <v>314.87</v>
      </c>
      <c r="Q57" s="2"/>
      <c r="R57" s="6">
        <f t="shared" si="8"/>
        <v>3.8464278587166872E-4</v>
      </c>
      <c r="S57" s="2"/>
      <c r="T57" s="2">
        <f>SUM(OSRRefT22_6x_0)</f>
        <v>230</v>
      </c>
      <c r="U57" s="2"/>
      <c r="V57" s="6">
        <f t="shared" si="9"/>
        <v>2.1984219153989897E-4</v>
      </c>
      <c r="W57" s="2"/>
      <c r="X57" s="2">
        <f t="shared" si="10"/>
        <v>84.87</v>
      </c>
      <c r="Y57" s="2"/>
      <c r="Z57" s="6">
        <f t="shared" si="11"/>
        <v>0.36899999999999999</v>
      </c>
    </row>
    <row r="58" spans="1:26" s="70" customFormat="1" ht="15" hidden="1" customHeight="1" outlineLevel="2" x14ac:dyDescent="0.3">
      <c r="A58" s="26"/>
      <c r="B58" s="12" t="str">
        <f>CONCATENATE("          ","6277"," - ","EMPLOYEE APPRECIATION")</f>
        <v xml:space="preserve">          6277 - EMPLOYEE APPRECIATION</v>
      </c>
      <c r="C58" s="12"/>
      <c r="D58" s="8"/>
      <c r="E58" s="3"/>
      <c r="F58" s="7">
        <f t="shared" ref="F58:F89" si="12">IF(D$12=0,0,D58/D$12)</f>
        <v>0</v>
      </c>
      <c r="G58" s="3"/>
      <c r="H58" s="8"/>
      <c r="I58" s="3"/>
      <c r="J58" s="7">
        <f t="shared" ref="J58:J89" si="13">IF(H$12=0,0,H58/H$12)</f>
        <v>0</v>
      </c>
      <c r="K58" s="3"/>
      <c r="L58" s="8">
        <f t="shared" ref="L58:L89" si="14">+D58-H58</f>
        <v>0</v>
      </c>
      <c r="M58" s="3"/>
      <c r="N58" s="7">
        <f t="shared" ref="N58:N89" si="15">IF(H58=0,0,L58/H58)</f>
        <v>0</v>
      </c>
      <c r="O58" s="12"/>
      <c r="P58" s="8">
        <v>314.87</v>
      </c>
      <c r="Q58" s="3"/>
      <c r="R58" s="7">
        <f t="shared" ref="R58:R89" si="16">IF(P$12=0,0,P58/P$12)</f>
        <v>3.8464278587166872E-4</v>
      </c>
      <c r="S58" s="3"/>
      <c r="T58" s="8">
        <v>230</v>
      </c>
      <c r="U58" s="3"/>
      <c r="V58" s="7">
        <f t="shared" ref="V58:V89" si="17">IF(T$12=0,0,T58/T$12)</f>
        <v>2.1984219153989897E-4</v>
      </c>
      <c r="W58" s="3"/>
      <c r="X58" s="8">
        <f t="shared" ref="X58:X89" si="18">+P58-T58</f>
        <v>84.87</v>
      </c>
      <c r="Y58" s="3"/>
      <c r="Z58" s="7">
        <f t="shared" ref="Z58:Z89" si="19">IF(T58=0,0,X58/T58)</f>
        <v>0.36899999999999999</v>
      </c>
    </row>
    <row r="59" spans="1:26" s="69" customFormat="1" ht="15" customHeight="1" outlineLevel="1" collapsed="1" x14ac:dyDescent="0.3">
      <c r="A59" s="25"/>
      <c r="B59" s="14" t="str">
        <f>CONCATENATE("     ","Equipment Rental                                  ")</f>
        <v xml:space="preserve">     Equipment Rental                                  </v>
      </c>
      <c r="C59" s="14"/>
      <c r="D59" s="2">
        <f>SUM(OSRRefD22_7x_0)</f>
        <v>1064.47</v>
      </c>
      <c r="E59" s="2"/>
      <c r="F59" s="6">
        <f t="shared" si="12"/>
        <v>4.923141786501951E-3</v>
      </c>
      <c r="G59" s="2"/>
      <c r="H59" s="2">
        <f>SUM(OSRRefH22_7x_0)</f>
        <v>775</v>
      </c>
      <c r="I59" s="2"/>
      <c r="J59" s="6">
        <f t="shared" si="13"/>
        <v>1.9631783731204151E-3</v>
      </c>
      <c r="K59" s="2"/>
      <c r="L59" s="2">
        <f t="shared" si="14"/>
        <v>289.47000000000003</v>
      </c>
      <c r="M59" s="2"/>
      <c r="N59" s="6">
        <f t="shared" si="15"/>
        <v>0.37350967741935487</v>
      </c>
      <c r="O59" s="14"/>
      <c r="P59" s="2">
        <f>SUM(OSRRefP22_7x_0)</f>
        <v>7390.66</v>
      </c>
      <c r="Q59" s="2"/>
      <c r="R59" s="6">
        <f t="shared" si="16"/>
        <v>9.0283737791161649E-3</v>
      </c>
      <c r="S59" s="2"/>
      <c r="T59" s="2">
        <f>SUM(OSRRefT22_7x_0)</f>
        <v>6200</v>
      </c>
      <c r="U59" s="2"/>
      <c r="V59" s="6">
        <f t="shared" si="17"/>
        <v>5.9261808154233639E-3</v>
      </c>
      <c r="W59" s="2"/>
      <c r="X59" s="2">
        <f t="shared" si="18"/>
        <v>1190.6599999999999</v>
      </c>
      <c r="Y59" s="2"/>
      <c r="Z59" s="6">
        <f t="shared" si="19"/>
        <v>0.19204193548387094</v>
      </c>
    </row>
    <row r="60" spans="1:26" s="70" customFormat="1" ht="15" hidden="1" customHeight="1" outlineLevel="2" x14ac:dyDescent="0.3">
      <c r="A60" s="26"/>
      <c r="B60" s="12" t="str">
        <f>CONCATENATE("          ","6351"," - ","EQUIPMENT RENTAL")</f>
        <v xml:space="preserve">          6351 - EQUIPMENT RENTAL</v>
      </c>
      <c r="C60" s="12"/>
      <c r="D60" s="8">
        <v>1064.47</v>
      </c>
      <c r="E60" s="3"/>
      <c r="F60" s="7">
        <f t="shared" si="12"/>
        <v>4.923141786501951E-3</v>
      </c>
      <c r="G60" s="3"/>
      <c r="H60" s="8">
        <v>775</v>
      </c>
      <c r="I60" s="3"/>
      <c r="J60" s="7">
        <f t="shared" si="13"/>
        <v>1.9631783731204151E-3</v>
      </c>
      <c r="K60" s="3"/>
      <c r="L60" s="8">
        <f t="shared" si="14"/>
        <v>289.47000000000003</v>
      </c>
      <c r="M60" s="3"/>
      <c r="N60" s="7">
        <f t="shared" si="15"/>
        <v>0.37350967741935487</v>
      </c>
      <c r="O60" s="12"/>
      <c r="P60" s="8">
        <v>7390.66</v>
      </c>
      <c r="Q60" s="3"/>
      <c r="R60" s="7">
        <f t="shared" si="16"/>
        <v>9.0283737791161649E-3</v>
      </c>
      <c r="S60" s="3"/>
      <c r="T60" s="8">
        <v>6200</v>
      </c>
      <c r="U60" s="3"/>
      <c r="V60" s="7">
        <f t="shared" si="17"/>
        <v>5.9261808154233639E-3</v>
      </c>
      <c r="W60" s="3"/>
      <c r="X60" s="8">
        <f t="shared" si="18"/>
        <v>1190.6599999999999</v>
      </c>
      <c r="Y60" s="3"/>
      <c r="Z60" s="7">
        <f t="shared" si="19"/>
        <v>0.19204193548387094</v>
      </c>
    </row>
    <row r="61" spans="1:26" s="69" customFormat="1" ht="15" customHeight="1" outlineLevel="1" collapsed="1" x14ac:dyDescent="0.3">
      <c r="A61" s="25"/>
      <c r="B61" s="14" t="str">
        <f>CONCATENATE("     ","General                                           ")</f>
        <v xml:space="preserve">     General                                           </v>
      </c>
      <c r="C61" s="14"/>
      <c r="D61" s="2">
        <f>SUM(OSRRefD22_8x_0)</f>
        <v>2435</v>
      </c>
      <c r="E61" s="2"/>
      <c r="F61" s="6">
        <f t="shared" si="12"/>
        <v>1.1261801882751277E-2</v>
      </c>
      <c r="G61" s="2"/>
      <c r="H61" s="2">
        <f>SUM(OSRRefH22_8x_0)</f>
        <v>0</v>
      </c>
      <c r="I61" s="2"/>
      <c r="J61" s="6">
        <f t="shared" si="13"/>
        <v>0</v>
      </c>
      <c r="K61" s="2"/>
      <c r="L61" s="2">
        <f t="shared" si="14"/>
        <v>2435</v>
      </c>
      <c r="M61" s="2"/>
      <c r="N61" s="6">
        <f t="shared" si="15"/>
        <v>0</v>
      </c>
      <c r="O61" s="14"/>
      <c r="P61" s="2">
        <f>SUM(OSRRefP22_8x_0)</f>
        <v>18461.439999999999</v>
      </c>
      <c r="Q61" s="2"/>
      <c r="R61" s="6">
        <f t="shared" si="16"/>
        <v>2.2552354028020007E-2</v>
      </c>
      <c r="S61" s="2"/>
      <c r="T61" s="2">
        <f>SUM(OSRRefT22_8x_0)</f>
        <v>5440</v>
      </c>
      <c r="U61" s="2"/>
      <c r="V61" s="6">
        <f t="shared" si="17"/>
        <v>5.1997457477263058E-3</v>
      </c>
      <c r="W61" s="2"/>
      <c r="X61" s="2">
        <f t="shared" si="18"/>
        <v>13021.439999999999</v>
      </c>
      <c r="Y61" s="2"/>
      <c r="Z61" s="6">
        <f t="shared" si="19"/>
        <v>2.3936470588235292</v>
      </c>
    </row>
    <row r="62" spans="1:26" s="70" customFormat="1" ht="15" hidden="1" customHeight="1" outlineLevel="2" x14ac:dyDescent="0.3">
      <c r="A62" s="26"/>
      <c r="B62" s="12" t="str">
        <f>CONCATENATE("          ","6269"," - ","ENTERTAINMENT")</f>
        <v xml:space="preserve">          6269 - ENTERTAINMENT</v>
      </c>
      <c r="C62" s="12"/>
      <c r="D62" s="8"/>
      <c r="E62" s="3"/>
      <c r="F62" s="7">
        <f t="shared" si="12"/>
        <v>0</v>
      </c>
      <c r="G62" s="3"/>
      <c r="H62" s="8"/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/>
      <c r="Q62" s="3"/>
      <c r="R62" s="7">
        <f t="shared" si="16"/>
        <v>0</v>
      </c>
      <c r="S62" s="3"/>
      <c r="T62" s="8">
        <v>250</v>
      </c>
      <c r="U62" s="3"/>
      <c r="V62" s="7">
        <f t="shared" si="17"/>
        <v>2.3895890384771626E-4</v>
      </c>
      <c r="W62" s="3"/>
      <c r="X62" s="8">
        <f t="shared" si="18"/>
        <v>-250</v>
      </c>
      <c r="Y62" s="3"/>
      <c r="Z62" s="7">
        <f t="shared" si="19"/>
        <v>-1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8">
        <v>2435</v>
      </c>
      <c r="E63" s="3"/>
      <c r="F63" s="7">
        <f t="shared" si="12"/>
        <v>1.1261801882751277E-2</v>
      </c>
      <c r="G63" s="3"/>
      <c r="H63" s="8"/>
      <c r="I63" s="3"/>
      <c r="J63" s="7">
        <f t="shared" si="13"/>
        <v>0</v>
      </c>
      <c r="K63" s="3"/>
      <c r="L63" s="8">
        <f t="shared" si="14"/>
        <v>2435</v>
      </c>
      <c r="M63" s="3"/>
      <c r="N63" s="7">
        <f t="shared" si="15"/>
        <v>0</v>
      </c>
      <c r="O63" s="12"/>
      <c r="P63" s="8">
        <v>18461.439999999999</v>
      </c>
      <c r="Q63" s="3"/>
      <c r="R63" s="7">
        <f t="shared" si="16"/>
        <v>2.2552354028020007E-2</v>
      </c>
      <c r="S63" s="3"/>
      <c r="T63" s="8">
        <v>5190</v>
      </c>
      <c r="U63" s="3"/>
      <c r="V63" s="7">
        <f t="shared" si="17"/>
        <v>4.9607868438785894E-3</v>
      </c>
      <c r="W63" s="3"/>
      <c r="X63" s="8">
        <f t="shared" si="18"/>
        <v>13271.439999999999</v>
      </c>
      <c r="Y63" s="3"/>
      <c r="Z63" s="7">
        <f t="shared" si="19"/>
        <v>2.5571175337186896</v>
      </c>
    </row>
    <row r="64" spans="1:26" s="69" customFormat="1" ht="15" customHeight="1" outlineLevel="1" collapsed="1" x14ac:dyDescent="0.3">
      <c r="A64" s="25"/>
      <c r="B64" s="14" t="str">
        <f>CONCATENATE("     ","Insurance                                         ")</f>
        <v xml:space="preserve">     Insurance                                         </v>
      </c>
      <c r="C64" s="14"/>
      <c r="D64" s="2">
        <f>SUM(OSRRefD22_9x_0)</f>
        <v>5756.21</v>
      </c>
      <c r="E64" s="2"/>
      <c r="F64" s="6">
        <f t="shared" si="12"/>
        <v>2.6622298404727608E-2</v>
      </c>
      <c r="G64" s="2"/>
      <c r="H64" s="2">
        <f>SUM(OSRRefH22_9x_0)</f>
        <v>5670</v>
      </c>
      <c r="I64" s="2"/>
      <c r="J64" s="6">
        <f t="shared" si="13"/>
        <v>1.4362866291087423E-2</v>
      </c>
      <c r="K64" s="2"/>
      <c r="L64" s="2">
        <f t="shared" si="14"/>
        <v>86.210000000000036</v>
      </c>
      <c r="M64" s="2"/>
      <c r="N64" s="6">
        <f t="shared" si="15"/>
        <v>1.5204585537918877E-2</v>
      </c>
      <c r="O64" s="14"/>
      <c r="P64" s="2">
        <f>SUM(OSRRefP22_9x_0)</f>
        <v>52932.68</v>
      </c>
      <c r="Q64" s="2"/>
      <c r="R64" s="6">
        <f t="shared" si="16"/>
        <v>6.4662157394650366E-2</v>
      </c>
      <c r="S64" s="2"/>
      <c r="T64" s="2">
        <f>SUM(OSRRefT22_9x_0)</f>
        <v>45360</v>
      </c>
      <c r="U64" s="2"/>
      <c r="V64" s="6">
        <f t="shared" si="17"/>
        <v>4.3356703514129638E-2</v>
      </c>
      <c r="W64" s="2"/>
      <c r="X64" s="2">
        <f t="shared" si="18"/>
        <v>7572.68</v>
      </c>
      <c r="Y64" s="2"/>
      <c r="Z64" s="6">
        <f t="shared" si="19"/>
        <v>0.16694620811287478</v>
      </c>
    </row>
    <row r="65" spans="1:26" s="70" customFormat="1" ht="15" hidden="1" customHeight="1" outlineLevel="2" x14ac:dyDescent="0.3">
      <c r="A65" s="26"/>
      <c r="B65" s="12" t="str">
        <f>CONCATENATE("          ","6314"," - ","LIABILITY INSURANCE")</f>
        <v xml:space="preserve">          6314 - LIABILITY INSURANCE</v>
      </c>
      <c r="C65" s="12"/>
      <c r="D65" s="8">
        <v>5756.21</v>
      </c>
      <c r="E65" s="3"/>
      <c r="F65" s="7">
        <f t="shared" si="12"/>
        <v>2.6622298404727608E-2</v>
      </c>
      <c r="G65" s="3"/>
      <c r="H65" s="8">
        <v>5670</v>
      </c>
      <c r="I65" s="3"/>
      <c r="J65" s="7">
        <f t="shared" si="13"/>
        <v>1.4362866291087423E-2</v>
      </c>
      <c r="K65" s="3"/>
      <c r="L65" s="8">
        <f t="shared" si="14"/>
        <v>86.210000000000036</v>
      </c>
      <c r="M65" s="3"/>
      <c r="N65" s="7">
        <f t="shared" si="15"/>
        <v>1.5204585537918877E-2</v>
      </c>
      <c r="O65" s="12"/>
      <c r="P65" s="8">
        <v>52932.68</v>
      </c>
      <c r="Q65" s="3"/>
      <c r="R65" s="7">
        <f t="shared" si="16"/>
        <v>6.4662157394650366E-2</v>
      </c>
      <c r="S65" s="3"/>
      <c r="T65" s="8">
        <v>45360</v>
      </c>
      <c r="U65" s="3"/>
      <c r="V65" s="7">
        <f t="shared" si="17"/>
        <v>4.3356703514129638E-2</v>
      </c>
      <c r="W65" s="3"/>
      <c r="X65" s="8">
        <f t="shared" si="18"/>
        <v>7572.68</v>
      </c>
      <c r="Y65" s="3"/>
      <c r="Z65" s="7">
        <f t="shared" si="19"/>
        <v>0.16694620811287478</v>
      </c>
    </row>
    <row r="66" spans="1:26" s="69" customFormat="1" ht="15" customHeight="1" outlineLevel="1" collapsed="1" x14ac:dyDescent="0.3">
      <c r="A66" s="25"/>
      <c r="B66" s="14" t="str">
        <f>CONCATENATE("     ","Interest                                          ")</f>
        <v xml:space="preserve">     Interest                                          </v>
      </c>
      <c r="C66" s="14"/>
      <c r="D66" s="2">
        <f>SUM(OSRRefD22_10x_0)</f>
        <v>7253</v>
      </c>
      <c r="E66" s="2"/>
      <c r="F66" s="6">
        <f t="shared" si="12"/>
        <v>3.3544907209689945E-2</v>
      </c>
      <c r="G66" s="2"/>
      <c r="H66" s="2">
        <f>SUM(OSRRefH22_10x_0)</f>
        <v>7253</v>
      </c>
      <c r="I66" s="2"/>
      <c r="J66" s="6">
        <f t="shared" si="13"/>
        <v>1.8372816439022412E-2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SUM(OSRRefP22_10x_0)</f>
        <v>57510</v>
      </c>
      <c r="Q66" s="2"/>
      <c r="R66" s="6">
        <f t="shared" si="16"/>
        <v>7.0253776528343984E-2</v>
      </c>
      <c r="S66" s="2"/>
      <c r="T66" s="2">
        <f>SUM(OSRRefT22_10x_0)</f>
        <v>58024</v>
      </c>
      <c r="U66" s="2"/>
      <c r="V66" s="6">
        <f t="shared" si="17"/>
        <v>5.5461405747439553E-2</v>
      </c>
      <c r="W66" s="2"/>
      <c r="X66" s="2">
        <f t="shared" si="18"/>
        <v>-514</v>
      </c>
      <c r="Y66" s="2"/>
      <c r="Z66" s="6">
        <f t="shared" si="19"/>
        <v>-8.8584034192747824E-3</v>
      </c>
    </row>
    <row r="67" spans="1:26" s="70" customFormat="1" ht="15" hidden="1" customHeight="1" outlineLevel="2" x14ac:dyDescent="0.3">
      <c r="A67" s="26"/>
      <c r="B67" s="12" t="str">
        <f>CONCATENATE("          ","6401"," - ","INTEREST EXPENSE")</f>
        <v xml:space="preserve">          6401 - INTEREST EXPENSE</v>
      </c>
      <c r="C67" s="12"/>
      <c r="D67" s="8">
        <v>7253</v>
      </c>
      <c r="E67" s="3"/>
      <c r="F67" s="7">
        <f t="shared" si="12"/>
        <v>3.3544907209689945E-2</v>
      </c>
      <c r="G67" s="3"/>
      <c r="H67" s="8">
        <v>7253</v>
      </c>
      <c r="I67" s="3"/>
      <c r="J67" s="7">
        <f t="shared" si="13"/>
        <v>1.8372816439022412E-2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>
        <v>57510</v>
      </c>
      <c r="Q67" s="3"/>
      <c r="R67" s="7">
        <f t="shared" si="16"/>
        <v>7.0253776528343984E-2</v>
      </c>
      <c r="S67" s="3"/>
      <c r="T67" s="8">
        <v>58024</v>
      </c>
      <c r="U67" s="3"/>
      <c r="V67" s="7">
        <f t="shared" si="17"/>
        <v>5.5461405747439553E-2</v>
      </c>
      <c r="W67" s="3"/>
      <c r="X67" s="8">
        <f t="shared" si="18"/>
        <v>-514</v>
      </c>
      <c r="Y67" s="3"/>
      <c r="Z67" s="7">
        <f t="shared" si="19"/>
        <v>-8.8584034192747824E-3</v>
      </c>
    </row>
    <row r="68" spans="1:26" s="69" customFormat="1" ht="15" customHeight="1" outlineLevel="1" collapsed="1" x14ac:dyDescent="0.3">
      <c r="A68" s="25"/>
      <c r="B68" s="14" t="str">
        <f>CONCATENATE("     ","Rent                                              ")</f>
        <v xml:space="preserve">     Rent                                              </v>
      </c>
      <c r="C68" s="14"/>
      <c r="D68" s="2">
        <f>SUM(OSRRefD22_11x_0)</f>
        <v>1850</v>
      </c>
      <c r="E68" s="2"/>
      <c r="F68" s="6">
        <f t="shared" si="12"/>
        <v>8.556194448907541E-3</v>
      </c>
      <c r="G68" s="2"/>
      <c r="H68" s="2">
        <f>SUM(OSRRefH22_11x_0)</f>
        <v>1850</v>
      </c>
      <c r="I68" s="2"/>
      <c r="J68" s="6">
        <f t="shared" si="13"/>
        <v>4.6862967616422809E-3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SUM(OSRRefP22_11x_0)</f>
        <v>14800</v>
      </c>
      <c r="Q68" s="2"/>
      <c r="R68" s="6">
        <f t="shared" si="16"/>
        <v>1.807956690348619E-2</v>
      </c>
      <c r="S68" s="2"/>
      <c r="T68" s="2">
        <f>SUM(OSRRefT22_11x_0)</f>
        <v>14800</v>
      </c>
      <c r="U68" s="2"/>
      <c r="V68" s="6">
        <f t="shared" si="17"/>
        <v>1.4146367107784804E-2</v>
      </c>
      <c r="W68" s="2"/>
      <c r="X68" s="2">
        <f t="shared" si="18"/>
        <v>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","6273"," - ","RENT")</f>
        <v xml:space="preserve">          6273 - RENT</v>
      </c>
      <c r="C69" s="12"/>
      <c r="D69" s="8">
        <v>1850</v>
      </c>
      <c r="E69" s="3"/>
      <c r="F69" s="7">
        <f t="shared" si="12"/>
        <v>8.556194448907541E-3</v>
      </c>
      <c r="G69" s="3"/>
      <c r="H69" s="8">
        <v>1850</v>
      </c>
      <c r="I69" s="3"/>
      <c r="J69" s="7">
        <f t="shared" si="13"/>
        <v>4.6862967616422809E-3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>
        <v>14800</v>
      </c>
      <c r="Q69" s="3"/>
      <c r="R69" s="7">
        <f t="shared" si="16"/>
        <v>1.807956690348619E-2</v>
      </c>
      <c r="S69" s="3"/>
      <c r="T69" s="8">
        <v>14800</v>
      </c>
      <c r="U69" s="3"/>
      <c r="V69" s="7">
        <f t="shared" si="17"/>
        <v>1.4146367107784804E-2</v>
      </c>
      <c r="W69" s="3"/>
      <c r="X69" s="8">
        <f t="shared" si="18"/>
        <v>0</v>
      </c>
      <c r="Y69" s="3"/>
      <c r="Z69" s="7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SUM(OSRRefD22_12x_0)</f>
        <v>4656</v>
      </c>
      <c r="E70" s="2"/>
      <c r="F70" s="6">
        <f t="shared" si="12"/>
        <v>2.1533860191412707E-2</v>
      </c>
      <c r="G70" s="2"/>
      <c r="H70" s="2">
        <f>SUM(OSRRefH22_12x_0)</f>
        <v>3529</v>
      </c>
      <c r="I70" s="2"/>
      <c r="J70" s="6">
        <f t="shared" si="13"/>
        <v>8.9394277145057356E-3</v>
      </c>
      <c r="K70" s="2"/>
      <c r="L70" s="2">
        <f t="shared" si="14"/>
        <v>1127</v>
      </c>
      <c r="M70" s="2"/>
      <c r="N70" s="6">
        <f t="shared" si="15"/>
        <v>0.31935392462453954</v>
      </c>
      <c r="O70" s="14"/>
      <c r="P70" s="2">
        <f>SUM(OSRRefP22_12x_0)</f>
        <v>61854.36</v>
      </c>
      <c r="Q70" s="2"/>
      <c r="R70" s="6">
        <f t="shared" si="16"/>
        <v>7.5560813506237848E-2</v>
      </c>
      <c r="S70" s="2"/>
      <c r="T70" s="2">
        <f>SUM(OSRRefT22_12x_0)</f>
        <v>39859</v>
      </c>
      <c r="U70" s="2"/>
      <c r="V70" s="6">
        <f t="shared" si="17"/>
        <v>3.8098651793864492E-2</v>
      </c>
      <c r="W70" s="2"/>
      <c r="X70" s="2">
        <f t="shared" si="18"/>
        <v>21995.360000000001</v>
      </c>
      <c r="Y70" s="2"/>
      <c r="Z70" s="6">
        <f t="shared" si="19"/>
        <v>0.55182919792267748</v>
      </c>
    </row>
    <row r="71" spans="1:26" s="70" customFormat="1" ht="15" hidden="1" customHeight="1" outlineLevel="2" x14ac:dyDescent="0.3">
      <c r="A71" s="26"/>
      <c r="B71" s="12" t="str">
        <f>CONCATENATE("          ","6371"," - ","COMPUTER SOFTWARE MAINTENANCE")</f>
        <v xml:space="preserve">          6371 - COMPUTER SOFTWARE MAINTENANCE</v>
      </c>
      <c r="C71" s="12"/>
      <c r="D71" s="8"/>
      <c r="E71" s="3"/>
      <c r="F71" s="7">
        <f t="shared" si="12"/>
        <v>0</v>
      </c>
      <c r="G71" s="3"/>
      <c r="H71" s="8"/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6817.17</v>
      </c>
      <c r="Q71" s="3"/>
      <c r="R71" s="7">
        <f t="shared" si="16"/>
        <v>8.3278027775296592E-3</v>
      </c>
      <c r="S71" s="3"/>
      <c r="T71" s="8"/>
      <c r="U71" s="3"/>
      <c r="V71" s="7">
        <f t="shared" si="17"/>
        <v>0</v>
      </c>
      <c r="W71" s="3"/>
      <c r="X71" s="8">
        <f t="shared" si="18"/>
        <v>6817.17</v>
      </c>
      <c r="Y71" s="3"/>
      <c r="Z71" s="7">
        <f t="shared" si="19"/>
        <v>0</v>
      </c>
    </row>
    <row r="72" spans="1:26" s="70" customFormat="1" ht="15" hidden="1" customHeight="1" outlineLevel="2" x14ac:dyDescent="0.3">
      <c r="A72" s="26"/>
      <c r="B72" s="12" t="str">
        <f>CONCATENATE("          ","6372"," - ","COMPUTER HARDWARE MAINTENANCE")</f>
        <v xml:space="preserve">          6372 - COMPUTER HARDWARE MAINTENANCE</v>
      </c>
      <c r="C72" s="12"/>
      <c r="D72" s="8"/>
      <c r="E72" s="3"/>
      <c r="F72" s="7">
        <f t="shared" si="12"/>
        <v>0</v>
      </c>
      <c r="G72" s="3"/>
      <c r="H72" s="8"/>
      <c r="I72" s="3"/>
      <c r="J72" s="7">
        <f t="shared" si="13"/>
        <v>0</v>
      </c>
      <c r="K72" s="3"/>
      <c r="L72" s="8">
        <f t="shared" si="14"/>
        <v>0</v>
      </c>
      <c r="M72" s="3"/>
      <c r="N72" s="7">
        <f t="shared" si="15"/>
        <v>0</v>
      </c>
      <c r="O72" s="12"/>
      <c r="P72" s="8"/>
      <c r="Q72" s="3"/>
      <c r="R72" s="7">
        <f t="shared" si="16"/>
        <v>0</v>
      </c>
      <c r="S72" s="3"/>
      <c r="T72" s="8">
        <v>8000</v>
      </c>
      <c r="U72" s="3"/>
      <c r="V72" s="7">
        <f t="shared" si="17"/>
        <v>7.6466849231269203E-3</v>
      </c>
      <c r="W72" s="3"/>
      <c r="X72" s="8">
        <f t="shared" si="18"/>
        <v>-8000</v>
      </c>
      <c r="Y72" s="3"/>
      <c r="Z72" s="7">
        <f t="shared" si="19"/>
        <v>-1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8">
        <v>902.75</v>
      </c>
      <c r="E73" s="3"/>
      <c r="F73" s="7">
        <f t="shared" si="12"/>
        <v>4.1751916425682607E-3</v>
      </c>
      <c r="G73" s="3"/>
      <c r="H73" s="8"/>
      <c r="I73" s="3"/>
      <c r="J73" s="7">
        <f t="shared" si="13"/>
        <v>0</v>
      </c>
      <c r="K73" s="3"/>
      <c r="L73" s="8">
        <f t="shared" si="14"/>
        <v>902.75</v>
      </c>
      <c r="M73" s="3"/>
      <c r="N73" s="7">
        <f t="shared" si="15"/>
        <v>0</v>
      </c>
      <c r="O73" s="12"/>
      <c r="P73" s="8">
        <v>14643.89</v>
      </c>
      <c r="Q73" s="3"/>
      <c r="R73" s="7">
        <f t="shared" si="16"/>
        <v>1.788886412042516E-2</v>
      </c>
      <c r="S73" s="3"/>
      <c r="T73" s="8">
        <v>4615</v>
      </c>
      <c r="U73" s="3"/>
      <c r="V73" s="7">
        <f t="shared" si="17"/>
        <v>4.4111813650288424E-3</v>
      </c>
      <c r="W73" s="3"/>
      <c r="X73" s="8">
        <f t="shared" si="18"/>
        <v>10028.89</v>
      </c>
      <c r="Y73" s="3"/>
      <c r="Z73" s="7">
        <f t="shared" si="19"/>
        <v>2.1731072589382445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8">
        <v>3753.25</v>
      </c>
      <c r="E74" s="3"/>
      <c r="F74" s="7">
        <f t="shared" si="12"/>
        <v>1.7358668548844446E-2</v>
      </c>
      <c r="G74" s="3"/>
      <c r="H74" s="8">
        <v>3529</v>
      </c>
      <c r="I74" s="3"/>
      <c r="J74" s="7">
        <f t="shared" si="13"/>
        <v>8.9394277145057356E-3</v>
      </c>
      <c r="K74" s="3"/>
      <c r="L74" s="8">
        <f t="shared" si="14"/>
        <v>224.25</v>
      </c>
      <c r="M74" s="3"/>
      <c r="N74" s="7">
        <f t="shared" si="15"/>
        <v>6.3544913573250206E-2</v>
      </c>
      <c r="O74" s="12"/>
      <c r="P74" s="8">
        <v>40393.300000000003</v>
      </c>
      <c r="Q74" s="3"/>
      <c r="R74" s="7">
        <f t="shared" si="16"/>
        <v>4.9344146608283027E-2</v>
      </c>
      <c r="S74" s="3"/>
      <c r="T74" s="8">
        <v>27244</v>
      </c>
      <c r="U74" s="3"/>
      <c r="V74" s="7">
        <f t="shared" si="17"/>
        <v>2.6040785505708729E-2</v>
      </c>
      <c r="W74" s="3"/>
      <c r="X74" s="8">
        <f t="shared" si="18"/>
        <v>13149.300000000003</v>
      </c>
      <c r="Y74" s="3"/>
      <c r="Z74" s="7">
        <f t="shared" si="19"/>
        <v>0.48264939069152851</v>
      </c>
    </row>
    <row r="75" spans="1:26" s="69" customFormat="1" ht="15" customHeight="1" outlineLevel="1" collapsed="1" x14ac:dyDescent="0.3">
      <c r="A75" s="25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2">
        <f>SUM(OSRRefD22_13x_0)</f>
        <v>1789.12</v>
      </c>
      <c r="E75" s="2"/>
      <c r="F75" s="6">
        <f t="shared" si="12"/>
        <v>8.2746262769888956E-3</v>
      </c>
      <c r="G75" s="2"/>
      <c r="H75" s="2">
        <f>SUM(OSRRefH22_13x_0)</f>
        <v>0</v>
      </c>
      <c r="I75" s="2"/>
      <c r="J75" s="6">
        <f t="shared" si="13"/>
        <v>0</v>
      </c>
      <c r="K75" s="2"/>
      <c r="L75" s="2">
        <f t="shared" si="14"/>
        <v>1789.12</v>
      </c>
      <c r="M75" s="2"/>
      <c r="N75" s="6">
        <f t="shared" si="15"/>
        <v>0</v>
      </c>
      <c r="O75" s="14"/>
      <c r="P75" s="2">
        <f>SUM(OSRRefP22_13x_0)</f>
        <v>3634.03</v>
      </c>
      <c r="Q75" s="2"/>
      <c r="R75" s="6">
        <f t="shared" si="16"/>
        <v>4.4393032779916171E-3</v>
      </c>
      <c r="S75" s="2"/>
      <c r="T75" s="2">
        <f>SUM(OSRRefT22_13x_0)</f>
        <v>0</v>
      </c>
      <c r="U75" s="2"/>
      <c r="V75" s="6">
        <f t="shared" si="17"/>
        <v>0</v>
      </c>
      <c r="W75" s="2"/>
      <c r="X75" s="2">
        <f t="shared" si="18"/>
        <v>3634.03</v>
      </c>
      <c r="Y75" s="2"/>
      <c r="Z75" s="6">
        <f t="shared" si="19"/>
        <v>0</v>
      </c>
    </row>
    <row r="76" spans="1:26" s="70" customFormat="1" ht="15" hidden="1" customHeight="1" outlineLevel="2" x14ac:dyDescent="0.3">
      <c r="A76" s="26"/>
      <c r="B76" s="12" t="str">
        <f>CONCATENATE("          ","6254"," - ","ROYALTY &amp; COMMISSIONS")</f>
        <v xml:space="preserve">          6254 - ROYALTY &amp; COMMISSIONS</v>
      </c>
      <c r="C76" s="12"/>
      <c r="D76" s="8">
        <v>1789.12</v>
      </c>
      <c r="E76" s="3"/>
      <c r="F76" s="7">
        <f t="shared" si="12"/>
        <v>8.2746262769888956E-3</v>
      </c>
      <c r="G76" s="3"/>
      <c r="H76" s="8"/>
      <c r="I76" s="3"/>
      <c r="J76" s="7">
        <f t="shared" si="13"/>
        <v>0</v>
      </c>
      <c r="K76" s="3"/>
      <c r="L76" s="8">
        <f t="shared" si="14"/>
        <v>1789.12</v>
      </c>
      <c r="M76" s="3"/>
      <c r="N76" s="7">
        <f t="shared" si="15"/>
        <v>0</v>
      </c>
      <c r="O76" s="12"/>
      <c r="P76" s="8">
        <v>3634.03</v>
      </c>
      <c r="Q76" s="3"/>
      <c r="R76" s="7">
        <f t="shared" si="16"/>
        <v>4.4393032779916171E-3</v>
      </c>
      <c r="S76" s="3"/>
      <c r="T76" s="8"/>
      <c r="U76" s="3"/>
      <c r="V76" s="7">
        <f t="shared" si="17"/>
        <v>0</v>
      </c>
      <c r="W76" s="3"/>
      <c r="X76" s="8">
        <f t="shared" si="18"/>
        <v>3634.03</v>
      </c>
      <c r="Y76" s="3"/>
      <c r="Z76" s="7">
        <f t="shared" si="19"/>
        <v>0</v>
      </c>
    </row>
    <row r="77" spans="1:26" s="69" customFormat="1" ht="15" customHeight="1" outlineLevel="1" collapsed="1" x14ac:dyDescent="0.3">
      <c r="A77" s="25"/>
      <c r="B77" s="14" t="str">
        <f>CONCATENATE("     ","Services                                          ")</f>
        <v xml:space="preserve">     Services                                          </v>
      </c>
      <c r="C77" s="14"/>
      <c r="D77" s="2">
        <f>SUM(OSRRefD22_14x_0)</f>
        <v>9002.0400000000009</v>
      </c>
      <c r="E77" s="2"/>
      <c r="F77" s="6">
        <f t="shared" si="12"/>
        <v>4.1634164690185757E-2</v>
      </c>
      <c r="G77" s="2"/>
      <c r="H77" s="2">
        <f>SUM(OSRRefH22_14x_0)</f>
        <v>11005</v>
      </c>
      <c r="I77" s="2"/>
      <c r="J77" s="6">
        <f t="shared" si="13"/>
        <v>2.7877132898309894E-2</v>
      </c>
      <c r="K77" s="2"/>
      <c r="L77" s="2">
        <f t="shared" si="14"/>
        <v>-2002.9599999999991</v>
      </c>
      <c r="M77" s="2"/>
      <c r="N77" s="6">
        <f t="shared" si="15"/>
        <v>-0.18200454338936839</v>
      </c>
      <c r="O77" s="14"/>
      <c r="P77" s="2">
        <f>SUM(OSRRefP22_14x_0)</f>
        <v>55134.32</v>
      </c>
      <c r="Q77" s="2"/>
      <c r="R77" s="6">
        <f t="shared" si="16"/>
        <v>6.7351663994474106E-2</v>
      </c>
      <c r="S77" s="2"/>
      <c r="T77" s="2">
        <f>SUM(OSRRefT22_14x_0)</f>
        <v>84143</v>
      </c>
      <c r="U77" s="2"/>
      <c r="V77" s="6">
        <f t="shared" si="17"/>
        <v>8.0426876185833565E-2</v>
      </c>
      <c r="W77" s="2"/>
      <c r="X77" s="2">
        <f t="shared" si="18"/>
        <v>-29008.68</v>
      </c>
      <c r="Y77" s="2"/>
      <c r="Z77" s="6">
        <f t="shared" si="19"/>
        <v>-0.34475452503476223</v>
      </c>
    </row>
    <row r="78" spans="1:26" s="70" customFormat="1" ht="15" hidden="1" customHeight="1" outlineLevel="2" x14ac:dyDescent="0.3">
      <c r="A78" s="26"/>
      <c r="B78" s="12" t="str">
        <f>CONCATENATE("          ","6282"," - ","JANITORIAL/EXTERMINATOR EXPENS")</f>
        <v xml:space="preserve">          6282 - JANITORIAL/EXTERMINATOR EXPENS</v>
      </c>
      <c r="C78" s="12"/>
      <c r="D78" s="8">
        <v>1211.6500000000001</v>
      </c>
      <c r="E78" s="3"/>
      <c r="F78" s="7">
        <f t="shared" si="12"/>
        <v>5.6038448670372009E-3</v>
      </c>
      <c r="G78" s="3"/>
      <c r="H78" s="8">
        <v>1128</v>
      </c>
      <c r="I78" s="3"/>
      <c r="J78" s="7">
        <f t="shared" si="13"/>
        <v>2.8573744579094558E-3</v>
      </c>
      <c r="K78" s="3"/>
      <c r="L78" s="8">
        <f t="shared" si="14"/>
        <v>83.650000000000091</v>
      </c>
      <c r="M78" s="3"/>
      <c r="N78" s="7">
        <f t="shared" si="15"/>
        <v>7.4157801418439792E-2</v>
      </c>
      <c r="O78" s="12"/>
      <c r="P78" s="8">
        <v>8463.51</v>
      </c>
      <c r="Q78" s="3"/>
      <c r="R78" s="7">
        <f t="shared" si="16"/>
        <v>1.0338959140765163E-2</v>
      </c>
      <c r="S78" s="3"/>
      <c r="T78" s="8">
        <v>8924</v>
      </c>
      <c r="U78" s="3"/>
      <c r="V78" s="7">
        <f t="shared" si="17"/>
        <v>8.5298770317480798E-3</v>
      </c>
      <c r="W78" s="3"/>
      <c r="X78" s="8">
        <f t="shared" si="18"/>
        <v>-460.48999999999978</v>
      </c>
      <c r="Y78" s="3"/>
      <c r="Z78" s="7">
        <f t="shared" si="19"/>
        <v>-5.1601299865531129E-2</v>
      </c>
    </row>
    <row r="79" spans="1:26" s="70" customFormat="1" ht="15" hidden="1" customHeight="1" outlineLevel="2" x14ac:dyDescent="0.3">
      <c r="A79" s="26"/>
      <c r="B79" s="12" t="str">
        <f>CONCATENATE("          ","6283"," - ","PLANT SERVICE")</f>
        <v xml:space="preserve">          6283 - PLANT SERVICE</v>
      </c>
      <c r="C79" s="12"/>
      <c r="D79" s="8"/>
      <c r="E79" s="3"/>
      <c r="F79" s="7">
        <f t="shared" si="12"/>
        <v>0</v>
      </c>
      <c r="G79" s="3"/>
      <c r="H79" s="8">
        <v>100</v>
      </c>
      <c r="I79" s="3"/>
      <c r="J79" s="7">
        <f t="shared" si="13"/>
        <v>2.5331333846715032E-4</v>
      </c>
      <c r="K79" s="3"/>
      <c r="L79" s="8">
        <f t="shared" si="14"/>
        <v>-100</v>
      </c>
      <c r="M79" s="3"/>
      <c r="N79" s="7">
        <f t="shared" si="15"/>
        <v>-1</v>
      </c>
      <c r="O79" s="12"/>
      <c r="P79" s="8"/>
      <c r="Q79" s="3"/>
      <c r="R79" s="7">
        <f t="shared" si="16"/>
        <v>0</v>
      </c>
      <c r="S79" s="3"/>
      <c r="T79" s="8">
        <v>800</v>
      </c>
      <c r="U79" s="3"/>
      <c r="V79" s="7">
        <f t="shared" si="17"/>
        <v>7.6466849231269206E-4</v>
      </c>
      <c r="W79" s="3"/>
      <c r="X79" s="8">
        <f t="shared" si="18"/>
        <v>-800</v>
      </c>
      <c r="Y79" s="3"/>
      <c r="Z79" s="7">
        <f t="shared" si="19"/>
        <v>-1</v>
      </c>
    </row>
    <row r="80" spans="1:26" s="70" customFormat="1" ht="15" hidden="1" customHeight="1" outlineLevel="2" x14ac:dyDescent="0.3">
      <c r="A80" s="26"/>
      <c r="B80" s="12" t="str">
        <f>CONCATENATE("          ","6284"," - ","TRASH REMOVAL EXPENSE")</f>
        <v xml:space="preserve">          6284 - TRASH REMOVAL EXPENSE</v>
      </c>
      <c r="C80" s="12"/>
      <c r="D80" s="8"/>
      <c r="E80" s="3"/>
      <c r="F80" s="7">
        <f t="shared" si="12"/>
        <v>0</v>
      </c>
      <c r="G80" s="3"/>
      <c r="H80" s="8">
        <v>1000</v>
      </c>
      <c r="I80" s="3"/>
      <c r="J80" s="7">
        <f t="shared" si="13"/>
        <v>2.5331333846715033E-3</v>
      </c>
      <c r="K80" s="3"/>
      <c r="L80" s="8">
        <f t="shared" si="14"/>
        <v>-1000</v>
      </c>
      <c r="M80" s="3"/>
      <c r="N80" s="7">
        <f t="shared" si="15"/>
        <v>-1</v>
      </c>
      <c r="O80" s="12"/>
      <c r="P80" s="8"/>
      <c r="Q80" s="3"/>
      <c r="R80" s="7">
        <f t="shared" si="16"/>
        <v>0</v>
      </c>
      <c r="S80" s="3"/>
      <c r="T80" s="8">
        <v>8000</v>
      </c>
      <c r="U80" s="3"/>
      <c r="V80" s="7">
        <f t="shared" si="17"/>
        <v>7.6466849231269203E-3</v>
      </c>
      <c r="W80" s="3"/>
      <c r="X80" s="8">
        <f t="shared" si="18"/>
        <v>-8000</v>
      </c>
      <c r="Y80" s="3"/>
      <c r="Z80" s="7">
        <f t="shared" si="19"/>
        <v>-1</v>
      </c>
    </row>
    <row r="81" spans="1:26" s="70" customFormat="1" ht="15" hidden="1" customHeight="1" outlineLevel="2" x14ac:dyDescent="0.3">
      <c r="A81" s="26"/>
      <c r="B81" s="12" t="str">
        <f>CONCATENATE("          ","6285"," - ","JANITORIAL SERVICES")</f>
        <v xml:space="preserve">          6285 - JANITORIAL SERVICES</v>
      </c>
      <c r="C81" s="12"/>
      <c r="D81" s="8">
        <v>7414.79</v>
      </c>
      <c r="E81" s="3"/>
      <c r="F81" s="7">
        <f t="shared" si="12"/>
        <v>3.42931811015217E-2</v>
      </c>
      <c r="G81" s="3"/>
      <c r="H81" s="8">
        <v>8224</v>
      </c>
      <c r="I81" s="3"/>
      <c r="J81" s="7">
        <f t="shared" si="13"/>
        <v>2.0832488955538443E-2</v>
      </c>
      <c r="K81" s="3"/>
      <c r="L81" s="8">
        <f t="shared" si="14"/>
        <v>-809.21</v>
      </c>
      <c r="M81" s="3"/>
      <c r="N81" s="7">
        <f t="shared" si="15"/>
        <v>-9.8396157587548647E-2</v>
      </c>
      <c r="O81" s="12"/>
      <c r="P81" s="8">
        <v>43748.11</v>
      </c>
      <c r="Q81" s="3"/>
      <c r="R81" s="7">
        <f t="shared" si="16"/>
        <v>5.3442356867977929E-2</v>
      </c>
      <c r="S81" s="3"/>
      <c r="T81" s="8">
        <v>61484</v>
      </c>
      <c r="U81" s="3"/>
      <c r="V81" s="7">
        <f t="shared" si="17"/>
        <v>5.8768596976691949E-2</v>
      </c>
      <c r="W81" s="3"/>
      <c r="X81" s="8">
        <f t="shared" si="18"/>
        <v>-17735.89</v>
      </c>
      <c r="Y81" s="3"/>
      <c r="Z81" s="7">
        <f t="shared" si="19"/>
        <v>-0.28846350269988941</v>
      </c>
    </row>
    <row r="82" spans="1:26" s="70" customFormat="1" ht="15" hidden="1" customHeight="1" outlineLevel="2" x14ac:dyDescent="0.3">
      <c r="A82" s="26"/>
      <c r="B82" s="12" t="str">
        <f>CONCATENATE("          ","6286"," - ","LAUNDRY EXPENSE")</f>
        <v xml:space="preserve">          6286 - LAUNDRY EXPENSE</v>
      </c>
      <c r="C82" s="12"/>
      <c r="D82" s="8">
        <v>375.6</v>
      </c>
      <c r="E82" s="3"/>
      <c r="F82" s="7">
        <f t="shared" si="12"/>
        <v>1.7371387216268499E-3</v>
      </c>
      <c r="G82" s="3"/>
      <c r="H82" s="8">
        <v>553</v>
      </c>
      <c r="I82" s="3"/>
      <c r="J82" s="7">
        <f t="shared" si="13"/>
        <v>1.4008227617233412E-3</v>
      </c>
      <c r="K82" s="3"/>
      <c r="L82" s="8">
        <f t="shared" si="14"/>
        <v>-177.39999999999998</v>
      </c>
      <c r="M82" s="3"/>
      <c r="N82" s="7">
        <f t="shared" si="15"/>
        <v>-0.32079566003616633</v>
      </c>
      <c r="O82" s="12"/>
      <c r="P82" s="8">
        <v>2922.7</v>
      </c>
      <c r="Q82" s="3"/>
      <c r="R82" s="7">
        <f t="shared" si="16"/>
        <v>3.5703479857310196E-3</v>
      </c>
      <c r="S82" s="3"/>
      <c r="T82" s="8">
        <v>4935</v>
      </c>
      <c r="U82" s="3"/>
      <c r="V82" s="7">
        <f t="shared" si="17"/>
        <v>4.717048761953919E-3</v>
      </c>
      <c r="W82" s="3"/>
      <c r="X82" s="8">
        <f t="shared" si="18"/>
        <v>-2012.3000000000002</v>
      </c>
      <c r="Y82" s="3"/>
      <c r="Z82" s="7">
        <f t="shared" si="19"/>
        <v>-0.40776089159067885</v>
      </c>
    </row>
    <row r="83" spans="1:26" s="69" customFormat="1" ht="15" customHeight="1" outlineLevel="1" collapsed="1" x14ac:dyDescent="0.3">
      <c r="A83" s="25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2">
        <f>SUM(OSRRefD22_15x_0)</f>
        <v>622.25</v>
      </c>
      <c r="E83" s="2"/>
      <c r="F83" s="6">
        <f t="shared" si="12"/>
        <v>2.8778875653149823E-3</v>
      </c>
      <c r="G83" s="2"/>
      <c r="H83" s="2">
        <f>SUM(OSRRefH22_15x_0)</f>
        <v>610</v>
      </c>
      <c r="I83" s="2"/>
      <c r="J83" s="6">
        <f t="shared" si="13"/>
        <v>1.545211364649617E-3</v>
      </c>
      <c r="K83" s="2"/>
      <c r="L83" s="2">
        <f t="shared" si="14"/>
        <v>12.25</v>
      </c>
      <c r="M83" s="2"/>
      <c r="N83" s="6">
        <f t="shared" si="15"/>
        <v>2.0081967213114754E-2</v>
      </c>
      <c r="O83" s="14"/>
      <c r="P83" s="2">
        <f>SUM(OSRRefP22_15x_0)</f>
        <v>5155.3599999999997</v>
      </c>
      <c r="Q83" s="2"/>
      <c r="R83" s="6">
        <f t="shared" si="16"/>
        <v>6.2977483805105785E-3</v>
      </c>
      <c r="S83" s="2"/>
      <c r="T83" s="2">
        <f>SUM(OSRRefT22_15x_0)</f>
        <v>4650</v>
      </c>
      <c r="U83" s="2"/>
      <c r="V83" s="6">
        <f t="shared" si="17"/>
        <v>4.4446356115675229E-3</v>
      </c>
      <c r="W83" s="2"/>
      <c r="X83" s="2">
        <f t="shared" si="18"/>
        <v>505.35999999999967</v>
      </c>
      <c r="Y83" s="2"/>
      <c r="Z83" s="6">
        <f t="shared" si="19"/>
        <v>0.10867956989247304</v>
      </c>
    </row>
    <row r="84" spans="1:26" s="70" customFormat="1" ht="15" hidden="1" customHeight="1" outlineLevel="2" x14ac:dyDescent="0.3">
      <c r="A84" s="26"/>
      <c r="B84" s="12" t="str">
        <f>CONCATENATE("          ","6275"," - ","SUBSCRIPTIONS")</f>
        <v xml:space="preserve">          6275 - SUBSCRIPTIONS</v>
      </c>
      <c r="C84" s="12"/>
      <c r="D84" s="8">
        <v>622.25</v>
      </c>
      <c r="E84" s="3"/>
      <c r="F84" s="7">
        <f t="shared" si="12"/>
        <v>2.8778875653149823E-3</v>
      </c>
      <c r="G84" s="3"/>
      <c r="H84" s="8">
        <v>610</v>
      </c>
      <c r="I84" s="3"/>
      <c r="J84" s="7">
        <f t="shared" si="13"/>
        <v>1.545211364649617E-3</v>
      </c>
      <c r="K84" s="3"/>
      <c r="L84" s="8">
        <f t="shared" si="14"/>
        <v>12.25</v>
      </c>
      <c r="M84" s="3"/>
      <c r="N84" s="7">
        <f t="shared" si="15"/>
        <v>2.0081967213114754E-2</v>
      </c>
      <c r="O84" s="12"/>
      <c r="P84" s="8">
        <v>5155.3599999999997</v>
      </c>
      <c r="Q84" s="3"/>
      <c r="R84" s="7">
        <f t="shared" si="16"/>
        <v>6.2977483805105785E-3</v>
      </c>
      <c r="S84" s="3"/>
      <c r="T84" s="8">
        <v>4650</v>
      </c>
      <c r="U84" s="3"/>
      <c r="V84" s="7">
        <f t="shared" si="17"/>
        <v>4.4446356115675229E-3</v>
      </c>
      <c r="W84" s="3"/>
      <c r="X84" s="8">
        <f t="shared" si="18"/>
        <v>505.35999999999967</v>
      </c>
      <c r="Y84" s="3"/>
      <c r="Z84" s="7">
        <f t="shared" si="19"/>
        <v>0.10867956989247304</v>
      </c>
    </row>
    <row r="85" spans="1:26" s="69" customFormat="1" ht="15" customHeight="1" outlineLevel="1" collapsed="1" x14ac:dyDescent="0.3">
      <c r="A85" s="25"/>
      <c r="B85" s="14" t="str">
        <f>CONCATENATE("     ","Supplies                                          ")</f>
        <v xml:space="preserve">     Supplies                                          </v>
      </c>
      <c r="C85" s="14"/>
      <c r="D85" s="2">
        <f>SUM(OSRRefD22_16x_0)</f>
        <v>4659.8899999999994</v>
      </c>
      <c r="E85" s="2"/>
      <c r="F85" s="6">
        <f t="shared" si="12"/>
        <v>2.1551851324605274E-2</v>
      </c>
      <c r="G85" s="2"/>
      <c r="H85" s="2">
        <f>SUM(OSRRefH22_16x_0)</f>
        <v>1675</v>
      </c>
      <c r="I85" s="2"/>
      <c r="J85" s="6">
        <f t="shared" si="13"/>
        <v>4.242998419324768E-3</v>
      </c>
      <c r="K85" s="2"/>
      <c r="L85" s="2">
        <f t="shared" si="14"/>
        <v>2984.8899999999994</v>
      </c>
      <c r="M85" s="2"/>
      <c r="N85" s="6">
        <f t="shared" si="15"/>
        <v>1.7820238805970146</v>
      </c>
      <c r="O85" s="14"/>
      <c r="P85" s="2">
        <f>SUM(OSRRefP22_16x_0)</f>
        <v>25147.019999999997</v>
      </c>
      <c r="Q85" s="2"/>
      <c r="R85" s="6">
        <f t="shared" si="16"/>
        <v>3.0719407467115222E-2</v>
      </c>
      <c r="S85" s="2"/>
      <c r="T85" s="2">
        <f>SUM(OSRRefT22_16x_0)</f>
        <v>26198</v>
      </c>
      <c r="U85" s="2"/>
      <c r="V85" s="6">
        <f t="shared" si="17"/>
        <v>2.5040981452009885E-2</v>
      </c>
      <c r="W85" s="2"/>
      <c r="X85" s="2">
        <f t="shared" si="18"/>
        <v>-1050.9800000000032</v>
      </c>
      <c r="Y85" s="2"/>
      <c r="Z85" s="6">
        <f t="shared" si="19"/>
        <v>-4.0116802809374887E-2</v>
      </c>
    </row>
    <row r="86" spans="1:26" s="70" customFormat="1" ht="15" hidden="1" customHeight="1" outlineLevel="2" x14ac:dyDescent="0.3">
      <c r="A86" s="26"/>
      <c r="B86" s="12" t="str">
        <f>CONCATENATE("          ","6234"," - ","EXPENDABLE SUPPLIES &amp; EQUIPMEN")</f>
        <v xml:space="preserve">          6234 - EXPENDABLE SUPPLIES &amp; EQUIPMEN</v>
      </c>
      <c r="C86" s="12"/>
      <c r="D86" s="8"/>
      <c r="E86" s="3"/>
      <c r="F86" s="7">
        <f t="shared" si="12"/>
        <v>0</v>
      </c>
      <c r="G86" s="3"/>
      <c r="H86" s="8"/>
      <c r="I86" s="3"/>
      <c r="J86" s="7">
        <f t="shared" si="13"/>
        <v>0</v>
      </c>
      <c r="K86" s="3"/>
      <c r="L86" s="8">
        <f t="shared" si="14"/>
        <v>0</v>
      </c>
      <c r="M86" s="3"/>
      <c r="N86" s="7">
        <f t="shared" si="15"/>
        <v>0</v>
      </c>
      <c r="O86" s="12"/>
      <c r="P86" s="8">
        <v>57.77</v>
      </c>
      <c r="Q86" s="3"/>
      <c r="R86" s="7">
        <f t="shared" si="16"/>
        <v>7.0571390541513339E-5</v>
      </c>
      <c r="S86" s="3"/>
      <c r="T86" s="8"/>
      <c r="U86" s="3"/>
      <c r="V86" s="7">
        <f t="shared" si="17"/>
        <v>0</v>
      </c>
      <c r="W86" s="3"/>
      <c r="X86" s="8">
        <f t="shared" si="18"/>
        <v>57.77</v>
      </c>
      <c r="Y86" s="3"/>
      <c r="Z86" s="7">
        <f t="shared" si="19"/>
        <v>0</v>
      </c>
    </row>
    <row r="87" spans="1:26" s="70" customFormat="1" ht="15" hidden="1" customHeight="1" outlineLevel="2" x14ac:dyDescent="0.3">
      <c r="A87" s="26"/>
      <c r="B87" s="12" t="str">
        <f>CONCATENATE("          ","6235"," - ","COVID-19 EXPENSES")</f>
        <v xml:space="preserve">          6235 - COVID-19 EXPENSES</v>
      </c>
      <c r="C87" s="12"/>
      <c r="D87" s="8"/>
      <c r="E87" s="3"/>
      <c r="F87" s="7">
        <f t="shared" si="12"/>
        <v>0</v>
      </c>
      <c r="G87" s="3"/>
      <c r="H87" s="8">
        <v>250</v>
      </c>
      <c r="I87" s="3"/>
      <c r="J87" s="7">
        <f t="shared" si="13"/>
        <v>6.3328334616787583E-4</v>
      </c>
      <c r="K87" s="3"/>
      <c r="L87" s="8">
        <f t="shared" si="14"/>
        <v>-250</v>
      </c>
      <c r="M87" s="3"/>
      <c r="N87" s="7">
        <f t="shared" si="15"/>
        <v>-1</v>
      </c>
      <c r="O87" s="12"/>
      <c r="P87" s="8">
        <v>511.92</v>
      </c>
      <c r="Q87" s="3"/>
      <c r="R87" s="7">
        <f t="shared" si="16"/>
        <v>6.2535756008328725E-4</v>
      </c>
      <c r="S87" s="3"/>
      <c r="T87" s="8">
        <v>2250</v>
      </c>
      <c r="U87" s="3"/>
      <c r="V87" s="7">
        <f t="shared" si="17"/>
        <v>2.1506301346294466E-3</v>
      </c>
      <c r="W87" s="3"/>
      <c r="X87" s="8">
        <f t="shared" si="18"/>
        <v>-1738.08</v>
      </c>
      <c r="Y87" s="3"/>
      <c r="Z87" s="7">
        <f t="shared" si="19"/>
        <v>-0.77247999999999994</v>
      </c>
    </row>
    <row r="88" spans="1:26" s="70" customFormat="1" ht="15" hidden="1" customHeight="1" outlineLevel="2" x14ac:dyDescent="0.3">
      <c r="A88" s="26"/>
      <c r="B88" s="12" t="str">
        <f>CONCATENATE("          ","6237"," - ","JANITORIAL SUPPLIES")</f>
        <v xml:space="preserve">          6237 - JANITORIAL SUPPLIES</v>
      </c>
      <c r="C88" s="12"/>
      <c r="D88" s="8">
        <v>612.49</v>
      </c>
      <c r="E88" s="3"/>
      <c r="F88" s="7">
        <f t="shared" si="12"/>
        <v>2.8327478583845297E-3</v>
      </c>
      <c r="G88" s="3"/>
      <c r="H88" s="8">
        <v>225</v>
      </c>
      <c r="I88" s="3"/>
      <c r="J88" s="7">
        <f t="shared" si="13"/>
        <v>5.6995501155108824E-4</v>
      </c>
      <c r="K88" s="3"/>
      <c r="L88" s="8">
        <f t="shared" si="14"/>
        <v>387.49</v>
      </c>
      <c r="M88" s="3"/>
      <c r="N88" s="7">
        <f t="shared" si="15"/>
        <v>1.7221777777777778</v>
      </c>
      <c r="O88" s="12"/>
      <c r="P88" s="8">
        <v>6460.1</v>
      </c>
      <c r="Q88" s="3"/>
      <c r="R88" s="7">
        <f t="shared" si="16"/>
        <v>7.8916087941358886E-3</v>
      </c>
      <c r="S88" s="3"/>
      <c r="T88" s="8">
        <v>3278</v>
      </c>
      <c r="U88" s="3"/>
      <c r="V88" s="7">
        <f t="shared" si="17"/>
        <v>3.1332291472512559E-3</v>
      </c>
      <c r="W88" s="3"/>
      <c r="X88" s="8">
        <f t="shared" si="18"/>
        <v>3182.1000000000004</v>
      </c>
      <c r="Y88" s="3"/>
      <c r="Z88" s="7">
        <f t="shared" si="19"/>
        <v>0.97074435631482625</v>
      </c>
    </row>
    <row r="89" spans="1:26" s="70" customFormat="1" ht="15" hidden="1" customHeight="1" outlineLevel="2" x14ac:dyDescent="0.3">
      <c r="A89" s="26"/>
      <c r="B89" s="12" t="str">
        <f>CONCATENATE("          ","6239"," - ","KITCHEN SUPPLIES")</f>
        <v xml:space="preserve">          6239 - KITCHEN SUPPLIES</v>
      </c>
      <c r="C89" s="12"/>
      <c r="D89" s="8">
        <v>1167.4100000000001</v>
      </c>
      <c r="E89" s="3"/>
      <c r="F89" s="7">
        <f t="shared" si="12"/>
        <v>5.3992361954590014E-3</v>
      </c>
      <c r="G89" s="3"/>
      <c r="H89" s="8"/>
      <c r="I89" s="3"/>
      <c r="J89" s="7">
        <f t="shared" si="13"/>
        <v>0</v>
      </c>
      <c r="K89" s="3"/>
      <c r="L89" s="8">
        <f t="shared" si="14"/>
        <v>1167.4100000000001</v>
      </c>
      <c r="M89" s="3"/>
      <c r="N89" s="7">
        <f t="shared" si="15"/>
        <v>0</v>
      </c>
      <c r="O89" s="12"/>
      <c r="P89" s="8">
        <v>4699.05</v>
      </c>
      <c r="Q89" s="3"/>
      <c r="R89" s="7">
        <f t="shared" si="16"/>
        <v>5.7403235714747836E-3</v>
      </c>
      <c r="S89" s="3"/>
      <c r="T89" s="8">
        <v>5349</v>
      </c>
      <c r="U89" s="3"/>
      <c r="V89" s="7">
        <f t="shared" si="17"/>
        <v>5.1127647067257375E-3</v>
      </c>
      <c r="W89" s="3"/>
      <c r="X89" s="8">
        <f t="shared" si="18"/>
        <v>-649.94999999999982</v>
      </c>
      <c r="Y89" s="3"/>
      <c r="Z89" s="7">
        <f t="shared" si="19"/>
        <v>-0.12150869321368477</v>
      </c>
    </row>
    <row r="90" spans="1:26" s="70" customFormat="1" ht="15" hidden="1" customHeight="1" outlineLevel="2" x14ac:dyDescent="0.3">
      <c r="A90" s="26"/>
      <c r="B90" s="12" t="str">
        <f>CONCATENATE("          ","6241"," - ","OFFICE EXPENSE")</f>
        <v xml:space="preserve">          6241 - OFFICE EXPENSE</v>
      </c>
      <c r="C90" s="12"/>
      <c r="D90" s="8">
        <v>432.76</v>
      </c>
      <c r="E90" s="3"/>
      <c r="F90" s="7">
        <f t="shared" ref="F90:F105" si="20">IF(D$12=0,0,D90/D$12)</f>
        <v>2.0015020052482307E-3</v>
      </c>
      <c r="G90" s="3"/>
      <c r="H90" s="8"/>
      <c r="I90" s="3"/>
      <c r="J90" s="7">
        <f t="shared" ref="J90:J105" si="21">IF(H$12=0,0,H90/H$12)</f>
        <v>0</v>
      </c>
      <c r="K90" s="3"/>
      <c r="L90" s="8">
        <f t="shared" ref="L90:L105" si="22">+D90-H90</f>
        <v>432.76</v>
      </c>
      <c r="M90" s="3"/>
      <c r="N90" s="7">
        <f t="shared" ref="N90:N105" si="23">IF(H90=0,0,L90/H90)</f>
        <v>0</v>
      </c>
      <c r="O90" s="12"/>
      <c r="P90" s="8">
        <v>7349.83</v>
      </c>
      <c r="Q90" s="3"/>
      <c r="R90" s="7">
        <f t="shared" ref="R90:R105" si="24">IF(P$12=0,0,P90/P$12)</f>
        <v>8.9784961631249934E-3</v>
      </c>
      <c r="S90" s="3"/>
      <c r="T90" s="8">
        <v>3127</v>
      </c>
      <c r="U90" s="3"/>
      <c r="V90" s="7">
        <f t="shared" ref="V90:V105" si="25">IF(T$12=0,0,T90/T$12)</f>
        <v>2.9888979693272351E-3</v>
      </c>
      <c r="W90" s="3"/>
      <c r="X90" s="8">
        <f t="shared" ref="X90:X105" si="26">+P90-T90</f>
        <v>4222.83</v>
      </c>
      <c r="Y90" s="3"/>
      <c r="Z90" s="7">
        <f t="shared" ref="Z90:Z105" si="27">IF(T90=0,0,X90/T90)</f>
        <v>1.3504413175567636</v>
      </c>
    </row>
    <row r="91" spans="1:26" s="70" customFormat="1" ht="15" hidden="1" customHeight="1" outlineLevel="2" x14ac:dyDescent="0.3">
      <c r="A91" s="26"/>
      <c r="B91" s="12" t="str">
        <f>CONCATENATE("          ","6243"," - ","PAPER SUPPLIES")</f>
        <v xml:space="preserve">          6243 - PAPER SUPPLIES</v>
      </c>
      <c r="C91" s="12"/>
      <c r="D91" s="8">
        <v>569.65</v>
      </c>
      <c r="E91" s="3"/>
      <c r="F91" s="7">
        <f t="shared" si="20"/>
        <v>2.6346141447676648E-3</v>
      </c>
      <c r="G91" s="3"/>
      <c r="H91" s="8">
        <v>600</v>
      </c>
      <c r="I91" s="3"/>
      <c r="J91" s="7">
        <f t="shared" si="21"/>
        <v>1.519880030802902E-3</v>
      </c>
      <c r="K91" s="3"/>
      <c r="L91" s="8">
        <f t="shared" si="22"/>
        <v>-30.350000000000023</v>
      </c>
      <c r="M91" s="3"/>
      <c r="N91" s="7">
        <f t="shared" si="23"/>
        <v>-5.0583333333333369E-2</v>
      </c>
      <c r="O91" s="12"/>
      <c r="P91" s="8">
        <v>1821.91</v>
      </c>
      <c r="Q91" s="3"/>
      <c r="R91" s="7">
        <f t="shared" si="24"/>
        <v>2.2256313335899005E-3</v>
      </c>
      <c r="S91" s="3"/>
      <c r="T91" s="8">
        <v>6233</v>
      </c>
      <c r="U91" s="3"/>
      <c r="V91" s="7">
        <f t="shared" si="25"/>
        <v>5.9577233907312623E-3</v>
      </c>
      <c r="W91" s="3"/>
      <c r="X91" s="8">
        <f t="shared" si="26"/>
        <v>-4411.09</v>
      </c>
      <c r="Y91" s="3"/>
      <c r="Z91" s="7">
        <f t="shared" si="27"/>
        <v>-0.70769934221081343</v>
      </c>
    </row>
    <row r="92" spans="1:26" s="70" customFormat="1" ht="15" hidden="1" customHeight="1" outlineLevel="2" x14ac:dyDescent="0.3">
      <c r="A92" s="26"/>
      <c r="B92" s="12" t="str">
        <f>CONCATENATE("          ","6244"," - ","SAFETY SUPPLY EXPENSE")</f>
        <v xml:space="preserve">          6244 - SAFETY SUPPLY EXPENSE</v>
      </c>
      <c r="C92" s="12"/>
      <c r="D92" s="8"/>
      <c r="E92" s="3"/>
      <c r="F92" s="7">
        <f t="shared" si="20"/>
        <v>0</v>
      </c>
      <c r="G92" s="3"/>
      <c r="H92" s="8"/>
      <c r="I92" s="3"/>
      <c r="J92" s="7">
        <f t="shared" si="21"/>
        <v>0</v>
      </c>
      <c r="K92" s="3"/>
      <c r="L92" s="8">
        <f t="shared" si="22"/>
        <v>0</v>
      </c>
      <c r="M92" s="3"/>
      <c r="N92" s="7">
        <f t="shared" si="23"/>
        <v>0</v>
      </c>
      <c r="O92" s="12"/>
      <c r="P92" s="8"/>
      <c r="Q92" s="3"/>
      <c r="R92" s="7">
        <f t="shared" si="24"/>
        <v>0</v>
      </c>
      <c r="S92" s="3"/>
      <c r="T92" s="8">
        <v>100</v>
      </c>
      <c r="U92" s="3"/>
      <c r="V92" s="7">
        <f t="shared" si="25"/>
        <v>9.5583561539086507E-5</v>
      </c>
      <c r="W92" s="3"/>
      <c r="X92" s="8">
        <f t="shared" si="26"/>
        <v>-100</v>
      </c>
      <c r="Y92" s="3"/>
      <c r="Z92" s="7">
        <f t="shared" si="27"/>
        <v>-1</v>
      </c>
    </row>
    <row r="93" spans="1:26" s="70" customFormat="1" ht="15" hidden="1" customHeight="1" outlineLevel="2" x14ac:dyDescent="0.3">
      <c r="A93" s="26"/>
      <c r="B93" s="12" t="str">
        <f>CONCATENATE("          ","6245"," - ","PRINTING")</f>
        <v xml:space="preserve">          6245 - PRINTING</v>
      </c>
      <c r="C93" s="12"/>
      <c r="D93" s="8"/>
      <c r="E93" s="3"/>
      <c r="F93" s="7">
        <f t="shared" si="20"/>
        <v>0</v>
      </c>
      <c r="G93" s="3"/>
      <c r="H93" s="8">
        <v>100</v>
      </c>
      <c r="I93" s="3"/>
      <c r="J93" s="7">
        <f t="shared" si="21"/>
        <v>2.5331333846715032E-4</v>
      </c>
      <c r="K93" s="3"/>
      <c r="L93" s="8">
        <f t="shared" si="22"/>
        <v>-100</v>
      </c>
      <c r="M93" s="3"/>
      <c r="N93" s="7">
        <f t="shared" si="23"/>
        <v>-1</v>
      </c>
      <c r="O93" s="12"/>
      <c r="P93" s="8">
        <v>1071</v>
      </c>
      <c r="Q93" s="3"/>
      <c r="R93" s="7">
        <f t="shared" si="24"/>
        <v>1.3083254157860616E-3</v>
      </c>
      <c r="S93" s="3"/>
      <c r="T93" s="8">
        <v>1600</v>
      </c>
      <c r="U93" s="3"/>
      <c r="V93" s="7">
        <f t="shared" si="25"/>
        <v>1.5293369846253841E-3</v>
      </c>
      <c r="W93" s="3"/>
      <c r="X93" s="8">
        <f t="shared" si="26"/>
        <v>-529</v>
      </c>
      <c r="Y93" s="3"/>
      <c r="Z93" s="7">
        <f t="shared" si="27"/>
        <v>-0.330625</v>
      </c>
    </row>
    <row r="94" spans="1:26" s="70" customFormat="1" ht="15" hidden="1" customHeight="1" outlineLevel="2" x14ac:dyDescent="0.3">
      <c r="A94" s="26"/>
      <c r="B94" s="12" t="str">
        <f>CONCATENATE("          ","6247"," - ","STORE SUPPLIES")</f>
        <v xml:space="preserve">          6247 - STORE SUPPLIES</v>
      </c>
      <c r="C94" s="12"/>
      <c r="D94" s="8">
        <v>355.33</v>
      </c>
      <c r="E94" s="3"/>
      <c r="F94" s="7">
        <f t="shared" si="20"/>
        <v>1.6433905802866575E-3</v>
      </c>
      <c r="G94" s="3"/>
      <c r="H94" s="8"/>
      <c r="I94" s="3"/>
      <c r="J94" s="7">
        <f t="shared" si="21"/>
        <v>0</v>
      </c>
      <c r="K94" s="3"/>
      <c r="L94" s="8">
        <f t="shared" si="22"/>
        <v>355.33</v>
      </c>
      <c r="M94" s="3"/>
      <c r="N94" s="7">
        <f t="shared" si="23"/>
        <v>0</v>
      </c>
      <c r="O94" s="12"/>
      <c r="P94" s="8">
        <v>1050.94</v>
      </c>
      <c r="Q94" s="3"/>
      <c r="R94" s="7">
        <f t="shared" si="24"/>
        <v>1.2838202730776878E-3</v>
      </c>
      <c r="S94" s="3"/>
      <c r="T94" s="8">
        <v>411</v>
      </c>
      <c r="U94" s="3"/>
      <c r="V94" s="7">
        <f t="shared" si="25"/>
        <v>3.9284843792564557E-4</v>
      </c>
      <c r="W94" s="3"/>
      <c r="X94" s="8">
        <f t="shared" si="26"/>
        <v>639.94000000000005</v>
      </c>
      <c r="Y94" s="3"/>
      <c r="Z94" s="7">
        <f t="shared" si="27"/>
        <v>1.5570316301703164</v>
      </c>
    </row>
    <row r="95" spans="1:26" s="70" customFormat="1" ht="15" hidden="1" customHeight="1" outlineLevel="2" x14ac:dyDescent="0.3">
      <c r="A95" s="26"/>
      <c r="B95" s="12" t="str">
        <f>CONCATENATE("          ","6248"," - ","UNIFORMS")</f>
        <v xml:space="preserve">          6248 - UNIFORMS</v>
      </c>
      <c r="C95" s="12"/>
      <c r="D95" s="8">
        <v>1522.25</v>
      </c>
      <c r="E95" s="3"/>
      <c r="F95" s="7">
        <f t="shared" si="20"/>
        <v>7.0403605404591911E-3</v>
      </c>
      <c r="G95" s="3"/>
      <c r="H95" s="8">
        <v>500</v>
      </c>
      <c r="I95" s="3"/>
      <c r="J95" s="7">
        <f t="shared" si="21"/>
        <v>1.2665666923357517E-3</v>
      </c>
      <c r="K95" s="3"/>
      <c r="L95" s="8">
        <f t="shared" si="22"/>
        <v>1022.25</v>
      </c>
      <c r="M95" s="3"/>
      <c r="N95" s="7">
        <f t="shared" si="23"/>
        <v>2.0445000000000002</v>
      </c>
      <c r="O95" s="12"/>
      <c r="P95" s="8">
        <v>2124.5</v>
      </c>
      <c r="Q95" s="3"/>
      <c r="R95" s="7">
        <f t="shared" si="24"/>
        <v>2.595272965301109E-3</v>
      </c>
      <c r="S95" s="3"/>
      <c r="T95" s="8">
        <v>3850</v>
      </c>
      <c r="U95" s="3"/>
      <c r="V95" s="7">
        <f t="shared" si="25"/>
        <v>3.6799671192548305E-3</v>
      </c>
      <c r="W95" s="3"/>
      <c r="X95" s="8">
        <f t="shared" si="26"/>
        <v>-1725.5</v>
      </c>
      <c r="Y95" s="3"/>
      <c r="Z95" s="7">
        <f t="shared" si="27"/>
        <v>-0.44818181818181818</v>
      </c>
    </row>
    <row r="96" spans="1:26" s="69" customFormat="1" ht="15" customHeight="1" outlineLevel="1" collapsed="1" x14ac:dyDescent="0.3">
      <c r="A96" s="25"/>
      <c r="B96" s="14" t="str">
        <f>CONCATENATE("     ","Telephone/Data Lines                              ")</f>
        <v xml:space="preserve">     Telephone/Data Lines                              </v>
      </c>
      <c r="C96" s="14"/>
      <c r="D96" s="2">
        <f>SUM(OSRRefD22_17x_0)</f>
        <v>662.8</v>
      </c>
      <c r="E96" s="2"/>
      <c r="F96" s="6">
        <f t="shared" si="20"/>
        <v>3.0654300976950904E-3</v>
      </c>
      <c r="G96" s="2"/>
      <c r="H96" s="2">
        <f>SUM(OSRRefH22_17x_0)</f>
        <v>360</v>
      </c>
      <c r="I96" s="2"/>
      <c r="J96" s="6">
        <f t="shared" si="21"/>
        <v>9.119280184817412E-4</v>
      </c>
      <c r="K96" s="2"/>
      <c r="L96" s="2">
        <f t="shared" si="22"/>
        <v>302.79999999999995</v>
      </c>
      <c r="M96" s="2"/>
      <c r="N96" s="6">
        <f t="shared" si="23"/>
        <v>0.84111111111111103</v>
      </c>
      <c r="O96" s="14"/>
      <c r="P96" s="2">
        <f>SUM(OSRRefP22_17x_0)</f>
        <v>5228.3900000000003</v>
      </c>
      <c r="Q96" s="2"/>
      <c r="R96" s="6">
        <f t="shared" si="24"/>
        <v>6.3869612704404175E-3</v>
      </c>
      <c r="S96" s="2"/>
      <c r="T96" s="2">
        <f>SUM(OSRRefT22_17x_0)</f>
        <v>3330</v>
      </c>
      <c r="U96" s="2"/>
      <c r="V96" s="6">
        <f t="shared" si="25"/>
        <v>3.1829325992515805E-3</v>
      </c>
      <c r="W96" s="2"/>
      <c r="X96" s="2">
        <f t="shared" si="26"/>
        <v>1898.3900000000003</v>
      </c>
      <c r="Y96" s="2"/>
      <c r="Z96" s="6">
        <f t="shared" si="27"/>
        <v>0.57008708708708722</v>
      </c>
    </row>
    <row r="97" spans="1:26" s="70" customFormat="1" ht="15" hidden="1" customHeight="1" outlineLevel="2" x14ac:dyDescent="0.3">
      <c r="A97" s="26"/>
      <c r="B97" s="12" t="str">
        <f>CONCATENATE("          ","6303"," - ","DATA PHONE LINES")</f>
        <v xml:space="preserve">          6303 - DATA PHONE LINES</v>
      </c>
      <c r="C97" s="12"/>
      <c r="D97" s="8"/>
      <c r="E97" s="3"/>
      <c r="F97" s="7">
        <f t="shared" si="20"/>
        <v>0</v>
      </c>
      <c r="G97" s="3"/>
      <c r="H97" s="8">
        <v>135</v>
      </c>
      <c r="I97" s="3"/>
      <c r="J97" s="7">
        <f t="shared" si="21"/>
        <v>3.4197300693065296E-4</v>
      </c>
      <c r="K97" s="3"/>
      <c r="L97" s="8">
        <f t="shared" si="22"/>
        <v>-135</v>
      </c>
      <c r="M97" s="3"/>
      <c r="N97" s="7">
        <f t="shared" si="23"/>
        <v>-1</v>
      </c>
      <c r="O97" s="12"/>
      <c r="P97" s="8"/>
      <c r="Q97" s="3"/>
      <c r="R97" s="7">
        <f t="shared" si="24"/>
        <v>0</v>
      </c>
      <c r="S97" s="3"/>
      <c r="T97" s="8">
        <v>1080</v>
      </c>
      <c r="U97" s="3"/>
      <c r="V97" s="7">
        <f t="shared" si="25"/>
        <v>1.0323024646221343E-3</v>
      </c>
      <c r="W97" s="3"/>
      <c r="X97" s="8">
        <f t="shared" si="26"/>
        <v>-1080</v>
      </c>
      <c r="Y97" s="3"/>
      <c r="Z97" s="7">
        <f t="shared" si="27"/>
        <v>-1</v>
      </c>
    </row>
    <row r="98" spans="1:26" s="70" customFormat="1" ht="15" hidden="1" customHeight="1" outlineLevel="2" x14ac:dyDescent="0.3">
      <c r="A98" s="26"/>
      <c r="B98" s="12" t="str">
        <f>CONCATENATE("          ","6309"," - ","TELEPHONE")</f>
        <v xml:space="preserve">          6309 - TELEPHONE</v>
      </c>
      <c r="C98" s="12"/>
      <c r="D98" s="8">
        <v>662.8</v>
      </c>
      <c r="E98" s="3"/>
      <c r="F98" s="7">
        <f t="shared" si="20"/>
        <v>3.0654300976950904E-3</v>
      </c>
      <c r="G98" s="3"/>
      <c r="H98" s="8">
        <v>225</v>
      </c>
      <c r="I98" s="3"/>
      <c r="J98" s="7">
        <f t="shared" si="21"/>
        <v>5.6995501155108824E-4</v>
      </c>
      <c r="K98" s="3"/>
      <c r="L98" s="8">
        <f t="shared" si="22"/>
        <v>437.79999999999995</v>
      </c>
      <c r="M98" s="3"/>
      <c r="N98" s="7">
        <f t="shared" si="23"/>
        <v>1.9457777777777776</v>
      </c>
      <c r="O98" s="12"/>
      <c r="P98" s="8">
        <v>5228.3900000000003</v>
      </c>
      <c r="Q98" s="3"/>
      <c r="R98" s="7">
        <f t="shared" si="24"/>
        <v>6.3869612704404175E-3</v>
      </c>
      <c r="S98" s="3"/>
      <c r="T98" s="8">
        <v>2250</v>
      </c>
      <c r="U98" s="3"/>
      <c r="V98" s="7">
        <f t="shared" si="25"/>
        <v>2.1506301346294466E-3</v>
      </c>
      <c r="W98" s="3"/>
      <c r="X98" s="8">
        <f t="shared" si="26"/>
        <v>2978.3900000000003</v>
      </c>
      <c r="Y98" s="3"/>
      <c r="Z98" s="7">
        <f t="shared" si="27"/>
        <v>1.323728888888889</v>
      </c>
    </row>
    <row r="99" spans="1:26" s="69" customFormat="1" ht="15" customHeight="1" outlineLevel="1" collapsed="1" x14ac:dyDescent="0.3">
      <c r="A99" s="25"/>
      <c r="B99" s="14" t="str">
        <f>CONCATENATE("     ","Training                                          ")</f>
        <v xml:space="preserve">     Training                                          </v>
      </c>
      <c r="C99" s="14"/>
      <c r="D99" s="2">
        <f>SUM(OSRRefD22_18x_0)</f>
        <v>480</v>
      </c>
      <c r="E99" s="2"/>
      <c r="F99" s="6">
        <f t="shared" si="20"/>
        <v>2.219985586743578E-3</v>
      </c>
      <c r="G99" s="2"/>
      <c r="H99" s="2">
        <f>SUM(OSRRefH22_18x_0)</f>
        <v>0</v>
      </c>
      <c r="I99" s="2"/>
      <c r="J99" s="6">
        <f t="shared" si="21"/>
        <v>0</v>
      </c>
      <c r="K99" s="2"/>
      <c r="L99" s="2">
        <f t="shared" si="22"/>
        <v>480</v>
      </c>
      <c r="M99" s="2"/>
      <c r="N99" s="6">
        <f t="shared" si="23"/>
        <v>0</v>
      </c>
      <c r="O99" s="14"/>
      <c r="P99" s="2">
        <f>SUM(OSRRefP22_18x_0)</f>
        <v>480</v>
      </c>
      <c r="Q99" s="2"/>
      <c r="R99" s="6">
        <f t="shared" si="24"/>
        <v>5.8636433200495751E-4</v>
      </c>
      <c r="S99" s="2"/>
      <c r="T99" s="2">
        <f>SUM(OSRRefT22_18x_0)</f>
        <v>1860</v>
      </c>
      <c r="U99" s="2"/>
      <c r="V99" s="6">
        <f t="shared" si="25"/>
        <v>1.7778542446270091E-3</v>
      </c>
      <c r="W99" s="2"/>
      <c r="X99" s="2">
        <f t="shared" si="26"/>
        <v>-1380</v>
      </c>
      <c r="Y99" s="2"/>
      <c r="Z99" s="6">
        <f t="shared" si="27"/>
        <v>-0.74193548387096775</v>
      </c>
    </row>
    <row r="100" spans="1:26" s="70" customFormat="1" ht="15" hidden="1" customHeight="1" outlineLevel="2" x14ac:dyDescent="0.3">
      <c r="A100" s="26"/>
      <c r="B100" s="12" t="str">
        <f>CONCATENATE("          ","6376"," - ","TRAINING")</f>
        <v xml:space="preserve">          6376 - TRAINING</v>
      </c>
      <c r="C100" s="12"/>
      <c r="D100" s="8">
        <v>480</v>
      </c>
      <c r="E100" s="3"/>
      <c r="F100" s="7">
        <f t="shared" si="20"/>
        <v>2.219985586743578E-3</v>
      </c>
      <c r="G100" s="3"/>
      <c r="H100" s="8"/>
      <c r="I100" s="3"/>
      <c r="J100" s="7">
        <f t="shared" si="21"/>
        <v>0</v>
      </c>
      <c r="K100" s="3"/>
      <c r="L100" s="8">
        <f t="shared" si="22"/>
        <v>480</v>
      </c>
      <c r="M100" s="3"/>
      <c r="N100" s="7">
        <f t="shared" si="23"/>
        <v>0</v>
      </c>
      <c r="O100" s="12"/>
      <c r="P100" s="8">
        <v>480</v>
      </c>
      <c r="Q100" s="3"/>
      <c r="R100" s="7">
        <f t="shared" si="24"/>
        <v>5.8636433200495751E-4</v>
      </c>
      <c r="S100" s="3"/>
      <c r="T100" s="8">
        <v>1860</v>
      </c>
      <c r="U100" s="3"/>
      <c r="V100" s="7">
        <f t="shared" si="25"/>
        <v>1.7778542446270091E-3</v>
      </c>
      <c r="W100" s="3"/>
      <c r="X100" s="8">
        <f t="shared" si="26"/>
        <v>-1380</v>
      </c>
      <c r="Y100" s="3"/>
      <c r="Z100" s="7">
        <f t="shared" si="27"/>
        <v>-0.74193548387096775</v>
      </c>
    </row>
    <row r="101" spans="1:26" s="69" customFormat="1" ht="15" customHeight="1" outlineLevel="1" collapsed="1" x14ac:dyDescent="0.3">
      <c r="A101" s="25"/>
      <c r="B101" s="14" t="str">
        <f>CONCATENATE("     ","Travel                                            ")</f>
        <v xml:space="preserve">     Travel                                            </v>
      </c>
      <c r="C101" s="14"/>
      <c r="D101" s="2">
        <f>SUM(OSRRefD22_19x_0)</f>
        <v>122.65</v>
      </c>
      <c r="E101" s="2"/>
      <c r="F101" s="6">
        <f t="shared" si="20"/>
        <v>5.6725256711270811E-4</v>
      </c>
      <c r="G101" s="2"/>
      <c r="H101" s="2">
        <f>SUM(OSRRefH22_19x_0)</f>
        <v>600</v>
      </c>
      <c r="I101" s="2"/>
      <c r="J101" s="6">
        <f t="shared" si="21"/>
        <v>1.519880030802902E-3</v>
      </c>
      <c r="K101" s="2"/>
      <c r="L101" s="2">
        <f t="shared" si="22"/>
        <v>-477.35</v>
      </c>
      <c r="M101" s="2"/>
      <c r="N101" s="6">
        <f t="shared" si="23"/>
        <v>-0.79558333333333342</v>
      </c>
      <c r="O101" s="14"/>
      <c r="P101" s="2">
        <f>SUM(OSRRefP22_19x_0)</f>
        <v>141.24</v>
      </c>
      <c r="Q101" s="2"/>
      <c r="R101" s="6">
        <f t="shared" si="24"/>
        <v>1.7253770469245877E-4</v>
      </c>
      <c r="S101" s="2"/>
      <c r="T101" s="2">
        <f>SUM(OSRRefT22_19x_0)</f>
        <v>600</v>
      </c>
      <c r="U101" s="2"/>
      <c r="V101" s="6">
        <f t="shared" si="25"/>
        <v>5.7350136923451907E-4</v>
      </c>
      <c r="W101" s="2"/>
      <c r="X101" s="2">
        <f t="shared" si="26"/>
        <v>-458.76</v>
      </c>
      <c r="Y101" s="2"/>
      <c r="Z101" s="6">
        <f t="shared" si="27"/>
        <v>-0.76459999999999995</v>
      </c>
    </row>
    <row r="102" spans="1:26" s="70" customFormat="1" ht="15" hidden="1" customHeight="1" outlineLevel="2" x14ac:dyDescent="0.3">
      <c r="A102" s="26"/>
      <c r="B102" s="12" t="str">
        <f>CONCATENATE("          ","6292"," - ","TRAVEL/CONFERENCE")</f>
        <v xml:space="preserve">          6292 - TRAVEL/CONFERENCE</v>
      </c>
      <c r="C102" s="12"/>
      <c r="D102" s="8"/>
      <c r="E102" s="3"/>
      <c r="F102" s="7">
        <f t="shared" si="20"/>
        <v>0</v>
      </c>
      <c r="G102" s="3"/>
      <c r="H102" s="8">
        <v>600</v>
      </c>
      <c r="I102" s="3"/>
      <c r="J102" s="7">
        <f t="shared" si="21"/>
        <v>1.519880030802902E-3</v>
      </c>
      <c r="K102" s="3"/>
      <c r="L102" s="8">
        <f t="shared" si="22"/>
        <v>-600</v>
      </c>
      <c r="M102" s="3"/>
      <c r="N102" s="7">
        <f t="shared" si="23"/>
        <v>-1</v>
      </c>
      <c r="O102" s="12"/>
      <c r="P102" s="8">
        <v>18.59</v>
      </c>
      <c r="Q102" s="3"/>
      <c r="R102" s="7">
        <f t="shared" si="24"/>
        <v>2.2709401941608668E-5</v>
      </c>
      <c r="S102" s="3"/>
      <c r="T102" s="8">
        <v>600</v>
      </c>
      <c r="U102" s="3"/>
      <c r="V102" s="7">
        <f t="shared" si="25"/>
        <v>5.7350136923451907E-4</v>
      </c>
      <c r="W102" s="3"/>
      <c r="X102" s="8">
        <f t="shared" si="26"/>
        <v>-581.41</v>
      </c>
      <c r="Y102" s="3"/>
      <c r="Z102" s="7">
        <f t="shared" si="27"/>
        <v>-0.96901666666666664</v>
      </c>
    </row>
    <row r="103" spans="1:26" s="70" customFormat="1" ht="15" hidden="1" customHeight="1" outlineLevel="2" x14ac:dyDescent="0.3">
      <c r="A103" s="26"/>
      <c r="B103" s="12" t="str">
        <f>CONCATENATE("          ","6298"," - ","VEHICLE MILEAGE")</f>
        <v xml:space="preserve">          6298 - VEHICLE MILEAGE</v>
      </c>
      <c r="C103" s="12"/>
      <c r="D103" s="8">
        <v>122.65</v>
      </c>
      <c r="E103" s="3"/>
      <c r="F103" s="7">
        <f t="shared" si="20"/>
        <v>5.6725256711270811E-4</v>
      </c>
      <c r="G103" s="3"/>
      <c r="H103" s="8"/>
      <c r="I103" s="3"/>
      <c r="J103" s="7">
        <f t="shared" si="21"/>
        <v>0</v>
      </c>
      <c r="K103" s="3"/>
      <c r="L103" s="8">
        <f t="shared" si="22"/>
        <v>122.65</v>
      </c>
      <c r="M103" s="3"/>
      <c r="N103" s="7">
        <f t="shared" si="23"/>
        <v>0</v>
      </c>
      <c r="O103" s="12"/>
      <c r="P103" s="8">
        <v>122.65</v>
      </c>
      <c r="Q103" s="3"/>
      <c r="R103" s="7">
        <f t="shared" si="24"/>
        <v>1.498283027508501E-4</v>
      </c>
      <c r="S103" s="3"/>
      <c r="T103" s="8"/>
      <c r="U103" s="3"/>
      <c r="V103" s="7">
        <f t="shared" si="25"/>
        <v>0</v>
      </c>
      <c r="W103" s="3"/>
      <c r="X103" s="8">
        <f t="shared" si="26"/>
        <v>122.65</v>
      </c>
      <c r="Y103" s="3"/>
      <c r="Z103" s="7">
        <f t="shared" si="27"/>
        <v>0</v>
      </c>
    </row>
    <row r="104" spans="1:26" s="69" customFormat="1" ht="15" customHeight="1" outlineLevel="1" collapsed="1" x14ac:dyDescent="0.3">
      <c r="A104" s="25"/>
      <c r="B104" s="14" t="str">
        <f>CONCATENATE("     ","Utilities                                         ")</f>
        <v xml:space="preserve">     Utilities                                         </v>
      </c>
      <c r="C104" s="14"/>
      <c r="D104" s="2">
        <f>SUM(OSRRefD22_20x_0)</f>
        <v>8150</v>
      </c>
      <c r="E104" s="2"/>
      <c r="F104" s="6">
        <f t="shared" si="20"/>
        <v>3.7693505274917001E-2</v>
      </c>
      <c r="G104" s="2"/>
      <c r="H104" s="2">
        <f>SUM(OSRRefH22_20x_0)</f>
        <v>8667</v>
      </c>
      <c r="I104" s="2"/>
      <c r="J104" s="6">
        <f t="shared" si="21"/>
        <v>2.1954667044947918E-2</v>
      </c>
      <c r="K104" s="2"/>
      <c r="L104" s="2">
        <f t="shared" si="22"/>
        <v>-517</v>
      </c>
      <c r="M104" s="2"/>
      <c r="N104" s="6">
        <f t="shared" si="23"/>
        <v>-5.9651551863389871E-2</v>
      </c>
      <c r="O104" s="14"/>
      <c r="P104" s="2">
        <f>SUM(OSRRefP22_20x_0)</f>
        <v>62800</v>
      </c>
      <c r="Q104" s="2"/>
      <c r="R104" s="6">
        <f t="shared" si="24"/>
        <v>7.6716000103981954E-2</v>
      </c>
      <c r="S104" s="2"/>
      <c r="T104" s="2">
        <f>SUM(OSRRefT22_20x_0)</f>
        <v>69336</v>
      </c>
      <c r="U104" s="2"/>
      <c r="V104" s="6">
        <f t="shared" si="25"/>
        <v>6.6273818228741024E-2</v>
      </c>
      <c r="W104" s="2"/>
      <c r="X104" s="2">
        <f t="shared" si="26"/>
        <v>-6536</v>
      </c>
      <c r="Y104" s="2"/>
      <c r="Z104" s="6">
        <f t="shared" si="27"/>
        <v>-9.4265605169031957E-2</v>
      </c>
    </row>
    <row r="105" spans="1:26" s="70" customFormat="1" ht="15" hidden="1" customHeight="1" outlineLevel="2" x14ac:dyDescent="0.3">
      <c r="A105" s="26"/>
      <c r="B105" s="12" t="str">
        <f>CONCATENATE("          ","6274"," - ","UTILITIES")</f>
        <v xml:space="preserve">          6274 - UTILITIES</v>
      </c>
      <c r="C105" s="12"/>
      <c r="D105" s="8">
        <v>8150</v>
      </c>
      <c r="E105" s="3"/>
      <c r="F105" s="7">
        <f t="shared" si="20"/>
        <v>3.7693505274917001E-2</v>
      </c>
      <c r="G105" s="3"/>
      <c r="H105" s="8">
        <v>8667</v>
      </c>
      <c r="I105" s="3"/>
      <c r="J105" s="7">
        <f t="shared" si="21"/>
        <v>2.1954667044947918E-2</v>
      </c>
      <c r="K105" s="3"/>
      <c r="L105" s="8">
        <f t="shared" si="22"/>
        <v>-517</v>
      </c>
      <c r="M105" s="3"/>
      <c r="N105" s="7">
        <f t="shared" si="23"/>
        <v>-5.9651551863389871E-2</v>
      </c>
      <c r="O105" s="12"/>
      <c r="P105" s="8">
        <v>62800</v>
      </c>
      <c r="Q105" s="3"/>
      <c r="R105" s="7">
        <f t="shared" si="24"/>
        <v>7.6716000103981954E-2</v>
      </c>
      <c r="S105" s="3"/>
      <c r="T105" s="8">
        <v>69336</v>
      </c>
      <c r="U105" s="3"/>
      <c r="V105" s="7">
        <f t="shared" si="25"/>
        <v>6.6273818228741024E-2</v>
      </c>
      <c r="W105" s="3"/>
      <c r="X105" s="8">
        <f t="shared" si="26"/>
        <v>-6536</v>
      </c>
      <c r="Y105" s="3"/>
      <c r="Z105" s="7">
        <f t="shared" si="27"/>
        <v>-9.4265605169031957E-2</v>
      </c>
    </row>
    <row r="106" spans="1:26" s="65" customFormat="1" ht="15" customHeight="1" x14ac:dyDescent="0.3">
      <c r="A106" s="35"/>
      <c r="B106" s="35"/>
      <c r="C106" s="35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O106" s="35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63" customFormat="1" ht="15" customHeight="1" collapsed="1" x14ac:dyDescent="0.3">
      <c r="A107" s="11"/>
      <c r="B107" s="27" t="s">
        <v>291</v>
      </c>
      <c r="C107" s="11"/>
      <c r="D107" s="5">
        <f>SUM(OSRRefD25x_0)</f>
        <v>2073.62</v>
      </c>
      <c r="E107" s="5"/>
      <c r="F107" s="13">
        <f>IF(D$12=0,0,D107/D$12)</f>
        <v>9.5904302341317041E-3</v>
      </c>
      <c r="G107" s="5"/>
      <c r="H107" s="5">
        <f>SUM(OSRRefH25x_0)</f>
        <v>37154.720000000001</v>
      </c>
      <c r="I107" s="5"/>
      <c r="J107" s="13">
        <f>IF(H$12=0,0,H107/H$12)</f>
        <v>9.4117861630121993E-2</v>
      </c>
      <c r="K107" s="5"/>
      <c r="L107" s="5">
        <f>+D107-H107</f>
        <v>-35081.1</v>
      </c>
      <c r="M107" s="5"/>
      <c r="N107" s="13">
        <f>IF(H107=0,0,L107/H107)</f>
        <v>-0.94418959421575499</v>
      </c>
      <c r="O107" s="11"/>
      <c r="P107" s="5">
        <f>SUM(OSRRefP25x_0)</f>
        <v>143215.47</v>
      </c>
      <c r="Q107" s="5"/>
      <c r="R107" s="13">
        <f>IF(P$12=0,0,P107/P$12)</f>
        <v>0.17495092374859592</v>
      </c>
      <c r="S107" s="5"/>
      <c r="T107" s="5">
        <f>SUM(OSRRefT25x_0)</f>
        <v>84373.31</v>
      </c>
      <c r="U107" s="5"/>
      <c r="V107" s="13">
        <f>IF(T$12=0,0,T107/T$12)</f>
        <v>8.0647014686414234E-2</v>
      </c>
      <c r="W107" s="5"/>
      <c r="X107" s="5">
        <f>+P107-T107</f>
        <v>58842.16</v>
      </c>
      <c r="Y107" s="5"/>
      <c r="Z107" s="13">
        <f>IF(T107=0,0,X107/T107)</f>
        <v>0.69740253167737531</v>
      </c>
    </row>
    <row r="108" spans="1:26" s="70" customFormat="1" ht="15" hidden="1" customHeight="1" outlineLevel="1" x14ac:dyDescent="0.3">
      <c r="A108" s="42"/>
      <c r="B108" s="12" t="str">
        <f>CONCATENATE("          ","9150"," - ","MISC. INCOME")</f>
        <v xml:space="preserve">          9150 - MISC. INCOME</v>
      </c>
      <c r="C108" s="12"/>
      <c r="D108" s="3">
        <f>--2073.62</f>
        <v>2073.62</v>
      </c>
      <c r="E108" s="3"/>
      <c r="F108" s="20">
        <f>IF(D$12=0,0,D108/D$12)</f>
        <v>9.5904302341317041E-3</v>
      </c>
      <c r="G108" s="3"/>
      <c r="H108" s="3"/>
      <c r="I108" s="3"/>
      <c r="J108" s="20">
        <f>IF(H$12=0,0,H108/H$12)</f>
        <v>0</v>
      </c>
      <c r="K108" s="3"/>
      <c r="L108" s="3">
        <f>+D108-H108</f>
        <v>2073.62</v>
      </c>
      <c r="M108" s="3"/>
      <c r="N108" s="20">
        <f>IF(H108=0,0,L108/H108)</f>
        <v>0</v>
      </c>
      <c r="O108" s="12"/>
      <c r="P108" s="3">
        <f>--143215.47</f>
        <v>143215.47</v>
      </c>
      <c r="Q108" s="3"/>
      <c r="R108" s="20">
        <f>IF(P$12=0,0,P108/P$12)</f>
        <v>0.17495092374859592</v>
      </c>
      <c r="S108" s="3"/>
      <c r="T108" s="3">
        <v>1000</v>
      </c>
      <c r="U108" s="3"/>
      <c r="V108" s="20">
        <f>IF(T$12=0,0,T108/T$12)</f>
        <v>9.5583561539086504E-4</v>
      </c>
      <c r="W108" s="3"/>
      <c r="X108" s="3">
        <f>+P108-T108</f>
        <v>142215.47</v>
      </c>
      <c r="Y108" s="3"/>
      <c r="Z108" s="20">
        <f>IF(T108=0,0,X108/T108)</f>
        <v>142.21547000000001</v>
      </c>
    </row>
    <row r="109" spans="1:26" s="70" customFormat="1" ht="15" hidden="1" customHeight="1" outlineLevel="1" x14ac:dyDescent="0.3">
      <c r="A109" s="42"/>
      <c r="B109" s="12" t="str">
        <f>CONCATENATE("          ","9151"," - ","MISC. INCOME")</f>
        <v xml:space="preserve">          9151 - MISC. INCOME</v>
      </c>
      <c r="C109" s="12"/>
      <c r="D109" s="3">
        <f>0</f>
        <v>0</v>
      </c>
      <c r="E109" s="3"/>
      <c r="F109" s="20">
        <f>IF(D$12=0,0,D109/D$12)</f>
        <v>0</v>
      </c>
      <c r="G109" s="3"/>
      <c r="H109" s="3">
        <v>16640.22</v>
      </c>
      <c r="I109" s="3"/>
      <c r="J109" s="20">
        <f>IF(H$12=0,0,H109/H$12)</f>
        <v>4.2151896810278443E-2</v>
      </c>
      <c r="K109" s="3"/>
      <c r="L109" s="3">
        <f>+D109-H109</f>
        <v>-16640.22</v>
      </c>
      <c r="M109" s="3"/>
      <c r="N109" s="20">
        <f>IF(H109=0,0,L109/H109)</f>
        <v>-1</v>
      </c>
      <c r="O109" s="12"/>
      <c r="P109" s="3">
        <f>0</f>
        <v>0</v>
      </c>
      <c r="Q109" s="3"/>
      <c r="R109" s="20">
        <f>IF(P$12=0,0,P109/P$12)</f>
        <v>0</v>
      </c>
      <c r="S109" s="3"/>
      <c r="T109" s="3">
        <v>32892.22</v>
      </c>
      <c r="U109" s="3"/>
      <c r="V109" s="20">
        <f>IF(T$12=0,0,T109/T$12)</f>
        <v>3.1439555345271722E-2</v>
      </c>
      <c r="W109" s="3"/>
      <c r="X109" s="3">
        <f>+P109-T109</f>
        <v>-32892.22</v>
      </c>
      <c r="Y109" s="3"/>
      <c r="Z109" s="20">
        <f>IF(T109=0,0,X109/T109)</f>
        <v>-1</v>
      </c>
    </row>
    <row r="110" spans="1:26" s="70" customFormat="1" ht="15" hidden="1" customHeight="1" outlineLevel="1" x14ac:dyDescent="0.3">
      <c r="A110" s="42"/>
      <c r="B110" s="12" t="str">
        <f>CONCATENATE("          ","9160"," - ","MISC. INCOME")</f>
        <v xml:space="preserve">          9160 - MISC. INCOME</v>
      </c>
      <c r="C110" s="12"/>
      <c r="D110" s="3">
        <f>0</f>
        <v>0</v>
      </c>
      <c r="E110" s="3"/>
      <c r="F110" s="20">
        <f>IF(D$12=0,0,D110/D$12)</f>
        <v>0</v>
      </c>
      <c r="G110" s="3"/>
      <c r="H110" s="3">
        <v>20514.5</v>
      </c>
      <c r="I110" s="3"/>
      <c r="J110" s="20">
        <f>IF(H$12=0,0,H110/H$12)</f>
        <v>5.1965964819843551E-2</v>
      </c>
      <c r="K110" s="3"/>
      <c r="L110" s="3">
        <f>+D110-H110</f>
        <v>-20514.5</v>
      </c>
      <c r="M110" s="3"/>
      <c r="N110" s="20">
        <f>IF(H110=0,0,L110/H110)</f>
        <v>-1</v>
      </c>
      <c r="O110" s="12"/>
      <c r="P110" s="3">
        <f>0</f>
        <v>0</v>
      </c>
      <c r="Q110" s="3"/>
      <c r="R110" s="20">
        <f>IF(P$12=0,0,P110/P$12)</f>
        <v>0</v>
      </c>
      <c r="S110" s="3"/>
      <c r="T110" s="3">
        <v>50481.09</v>
      </c>
      <c r="U110" s="3"/>
      <c r="V110" s="20">
        <f>IF(T$12=0,0,T110/T$12)</f>
        <v>4.825162372575164E-2</v>
      </c>
      <c r="W110" s="3"/>
      <c r="X110" s="3">
        <f>+P110-T110</f>
        <v>-50481.09</v>
      </c>
      <c r="Y110" s="3"/>
      <c r="Z110" s="20">
        <f>IF(T110=0,0,X110/T110)</f>
        <v>-1</v>
      </c>
    </row>
    <row r="111" spans="1:26" s="70" customFormat="1" ht="15" hidden="1" customHeight="1" outlineLevel="1" x14ac:dyDescent="0.3">
      <c r="A111" s="42"/>
      <c r="B111" s="12" t="str">
        <f>CONCATENATE("          ","9165"," - ","OTHER INCOME")</f>
        <v xml:space="preserve">          9165 - OTHER INCOME</v>
      </c>
      <c r="C111" s="12"/>
      <c r="D111" s="3">
        <f>0</f>
        <v>0</v>
      </c>
      <c r="E111" s="3"/>
      <c r="F111" s="20">
        <f>IF(D$12=0,0,D111/D$12)</f>
        <v>0</v>
      </c>
      <c r="G111" s="3"/>
      <c r="H111" s="3"/>
      <c r="I111" s="3"/>
      <c r="J111" s="20">
        <f>IF(H$12=0,0,H111/H$12)</f>
        <v>0</v>
      </c>
      <c r="K111" s="3"/>
      <c r="L111" s="3">
        <f>+D111-H111</f>
        <v>0</v>
      </c>
      <c r="M111" s="3"/>
      <c r="N111" s="20">
        <f>IF(H111=0,0,L111/H111)</f>
        <v>0</v>
      </c>
      <c r="O111" s="12"/>
      <c r="P111" s="3">
        <f>0</f>
        <v>0</v>
      </c>
      <c r="Q111" s="3"/>
      <c r="R111" s="20">
        <f>IF(P$12=0,0,P111/P$12)</f>
        <v>0</v>
      </c>
      <c r="S111" s="3"/>
      <c r="T111" s="3"/>
      <c r="U111" s="3"/>
      <c r="V111" s="20">
        <f>IF(T$12=0,0,T111/T$12)</f>
        <v>0</v>
      </c>
      <c r="W111" s="3"/>
      <c r="X111" s="3">
        <f>+P111-T111</f>
        <v>0</v>
      </c>
      <c r="Y111" s="3"/>
      <c r="Z111" s="20">
        <f>IF(T111=0,0,X111/T111)</f>
        <v>0</v>
      </c>
    </row>
    <row r="112" spans="1:26" ht="15" customHeight="1" x14ac:dyDescent="0.3">
      <c r="A112" s="10"/>
      <c r="B112" s="11"/>
      <c r="C112" s="11"/>
      <c r="D112" s="4"/>
      <c r="E112" s="4"/>
      <c r="F112" s="9"/>
      <c r="G112" s="4"/>
      <c r="H112" s="4"/>
      <c r="I112" s="4"/>
      <c r="J112" s="9"/>
      <c r="K112" s="4"/>
      <c r="L112" s="4"/>
      <c r="M112" s="4"/>
      <c r="N112" s="9"/>
      <c r="O112" s="11"/>
      <c r="P112" s="4"/>
      <c r="Q112" s="4"/>
      <c r="R112" s="9"/>
      <c r="S112" s="4"/>
      <c r="T112" s="4"/>
      <c r="U112" s="4"/>
      <c r="V112" s="9"/>
      <c r="W112" s="4"/>
      <c r="X112" s="4"/>
      <c r="Y112" s="4"/>
      <c r="Z112" s="9"/>
    </row>
    <row r="113" spans="1:26" s="63" customFormat="1" ht="15" customHeight="1" x14ac:dyDescent="0.3">
      <c r="A113" s="11"/>
      <c r="B113" s="28" t="s">
        <v>292</v>
      </c>
      <c r="C113" s="28"/>
      <c r="D113" s="21">
        <f>+D24-D26+D107</f>
        <v>-57348.749999999935</v>
      </c>
      <c r="E113" s="15"/>
      <c r="F113" s="22">
        <f>IF(D$12=0,0,D113/D$12)</f>
        <v>-0.26523624670366797</v>
      </c>
      <c r="G113" s="15"/>
      <c r="H113" s="21">
        <f>+H24-H26+H107</f>
        <v>82431.415721496975</v>
      </c>
      <c r="I113" s="15"/>
      <c r="J113" s="22">
        <f>IF(H$12=0,0,H113/H$12)</f>
        <v>0.2088097711098594</v>
      </c>
      <c r="K113" s="16"/>
      <c r="L113" s="21">
        <f>+D113-H113</f>
        <v>-139780.16572149692</v>
      </c>
      <c r="M113" s="16"/>
      <c r="N113" s="22">
        <f>IF(H113=0,0,L113/H113)</f>
        <v>-1.6957147283962537</v>
      </c>
      <c r="O113" s="27"/>
      <c r="P113" s="21">
        <f>+P24-P26+P107</f>
        <v>-797215.65999999968</v>
      </c>
      <c r="Q113" s="15"/>
      <c r="R113" s="22">
        <f>IF(P$12=0,0,P113/P$12)</f>
        <v>-0.97387255820789831</v>
      </c>
      <c r="S113" s="15"/>
      <c r="T113" s="21">
        <f>+T24-T26+T107</f>
        <v>-671024.33636425855</v>
      </c>
      <c r="U113" s="15"/>
      <c r="V113" s="22">
        <f>IF(T$12=0,0,T113/T$12)</f>
        <v>-0.64138895949097796</v>
      </c>
      <c r="W113" s="16"/>
      <c r="X113" s="21">
        <f>+P113-T113</f>
        <v>-126191.32363574114</v>
      </c>
      <c r="Y113" s="16"/>
      <c r="Z113" s="22">
        <f>IF(T113=0,0,X113/T113)</f>
        <v>0.18805774514747181</v>
      </c>
    </row>
    <row r="114" spans="1:26" ht="15" customHeight="1" x14ac:dyDescent="0.3">
      <c r="A114" s="10"/>
      <c r="B114" s="11"/>
      <c r="C114" s="10"/>
      <c r="D114" s="4"/>
      <c r="E114" s="4"/>
      <c r="F114" s="9"/>
      <c r="G114" s="4"/>
      <c r="H114" s="4"/>
      <c r="I114" s="4"/>
      <c r="J114" s="9"/>
      <c r="K114" s="4"/>
      <c r="L114" s="4"/>
      <c r="M114" s="4"/>
      <c r="N114" s="9"/>
      <c r="P114" s="4"/>
      <c r="Q114" s="4"/>
      <c r="R114" s="9"/>
      <c r="S114" s="4"/>
      <c r="T114" s="4"/>
      <c r="U114" s="4"/>
      <c r="V114" s="9"/>
      <c r="W114" s="4"/>
      <c r="X114" s="4"/>
      <c r="Y114" s="4"/>
      <c r="Z114" s="9"/>
    </row>
    <row r="115" spans="1:26" s="63" customFormat="1" ht="15" customHeight="1" x14ac:dyDescent="0.3">
      <c r="A115" s="49"/>
      <c r="B115" s="11" t="s">
        <v>293</v>
      </c>
      <c r="C115" s="11"/>
      <c r="D115" s="5">
        <v>22444.06</v>
      </c>
      <c r="E115" s="5"/>
      <c r="F115" s="13">
        <f>IF(D$12=0,0,D115/D$12)</f>
        <v>0.10380310355835015</v>
      </c>
      <c r="G115" s="5"/>
      <c r="H115" s="5">
        <v>46273</v>
      </c>
      <c r="I115" s="5"/>
      <c r="J115" s="13">
        <f>IF(H$12=0,0,H115/H$12)</f>
        <v>0.11721568110890447</v>
      </c>
      <c r="K115" s="5"/>
      <c r="L115" s="5">
        <f>+D115-H115</f>
        <v>-23828.94</v>
      </c>
      <c r="M115" s="5"/>
      <c r="N115" s="13">
        <f>IF(H115=0,0,L115/H115)</f>
        <v>-0.51496423400255009</v>
      </c>
      <c r="O115" s="11"/>
      <c r="P115" s="5">
        <v>102180.33</v>
      </c>
      <c r="Q115" s="5"/>
      <c r="R115" s="13">
        <f>IF(P$12=0,0,P115/P$12)</f>
        <v>0.12482271030103359</v>
      </c>
      <c r="S115" s="5"/>
      <c r="T115" s="5">
        <v>127896</v>
      </c>
      <c r="U115" s="5"/>
      <c r="V115" s="13">
        <f>IF(T$12=0,0,T115/T$12)</f>
        <v>0.12224755186603008</v>
      </c>
      <c r="W115" s="5"/>
      <c r="X115" s="5">
        <f>+P115-T115</f>
        <v>-25715.67</v>
      </c>
      <c r="Y115" s="5"/>
      <c r="Z115" s="13">
        <f>IF(T115=0,0,X115/T115)</f>
        <v>-0.2010670388440608</v>
      </c>
    </row>
    <row r="116" spans="1:26" ht="15" customHeight="1" x14ac:dyDescent="0.3">
      <c r="A116" s="10"/>
      <c r="B116" s="11"/>
      <c r="C116" s="11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O116" s="11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3" customFormat="1" ht="15" customHeight="1" x14ac:dyDescent="0.3">
      <c r="A117" s="11"/>
      <c r="B117" s="28" t="s">
        <v>294</v>
      </c>
      <c r="C117" s="28"/>
      <c r="D117" s="33">
        <f>+D113-D115</f>
        <v>-79792.809999999939</v>
      </c>
      <c r="E117" s="15"/>
      <c r="F117" s="32">
        <f>IF(D$12=0,0,D117/D$12)</f>
        <v>-0.36903935026201817</v>
      </c>
      <c r="G117" s="15"/>
      <c r="H117" s="33">
        <f>+H113-H115</f>
        <v>36158.415721496975</v>
      </c>
      <c r="I117" s="15"/>
      <c r="J117" s="32">
        <f>IF(H$12=0,0,H117/H$12)</f>
        <v>9.1594090000954934E-2</v>
      </c>
      <c r="K117" s="16"/>
      <c r="L117" s="33">
        <f>D117-H117</f>
        <v>-115951.22572149691</v>
      </c>
      <c r="M117" s="16"/>
      <c r="N117" s="32">
        <f>IF(H117=0,0,L117/H117)</f>
        <v>-3.2067562532216076</v>
      </c>
      <c r="O117" s="27"/>
      <c r="P117" s="33">
        <f>+P113-P115</f>
        <v>-899395.98999999964</v>
      </c>
      <c r="Q117" s="15"/>
      <c r="R117" s="32">
        <f>IF(P$12=0,0,P117/P$12)</f>
        <v>-1.0986952685089317</v>
      </c>
      <c r="S117" s="15"/>
      <c r="T117" s="33">
        <f>+T113-T115</f>
        <v>-798920.33636425855</v>
      </c>
      <c r="U117" s="15"/>
      <c r="V117" s="32">
        <f>IF(T$12=0,0,T117/T$12)</f>
        <v>-0.76363651135700794</v>
      </c>
      <c r="W117" s="16"/>
      <c r="X117" s="33">
        <f>P117-T117</f>
        <v>-100475.6536357411</v>
      </c>
      <c r="Y117" s="16"/>
      <c r="Z117" s="32">
        <f>IF(T117=0,0,X117/T117)</f>
        <v>0.12576429596596272</v>
      </c>
    </row>
    <row r="118" spans="1:26" ht="15" customHeight="1" x14ac:dyDescent="0.3">
      <c r="A118" s="10"/>
      <c r="B118" s="10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ht="15" customHeight="1" x14ac:dyDescent="0.3">
      <c r="A119" s="10"/>
      <c r="B119" s="10"/>
      <c r="C119" s="10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3">
      <c r="A120" s="11"/>
      <c r="B120" s="28" t="s">
        <v>297</v>
      </c>
      <c r="C120" s="28"/>
      <c r="D120" s="34">
        <f>SUM(D117:D119)</f>
        <v>-79792.809999999939</v>
      </c>
      <c r="E120" s="15"/>
      <c r="F120" s="30">
        <f>IF(D$12=0,0,D120/D$12)</f>
        <v>-0.36903935026201817</v>
      </c>
      <c r="G120" s="15"/>
      <c r="H120" s="34">
        <f>SUM(H117:H119)</f>
        <v>36158.415721496975</v>
      </c>
      <c r="I120" s="15"/>
      <c r="J120" s="30">
        <f>IF(H$12=0,0,H120/H$12)</f>
        <v>9.1594090000954934E-2</v>
      </c>
      <c r="K120" s="16"/>
      <c r="L120" s="34">
        <f>+D120-H120</f>
        <v>-115951.22572149691</v>
      </c>
      <c r="M120" s="16"/>
      <c r="N120" s="30">
        <f>IF(H120=0,0,L120/H120)</f>
        <v>-3.2067562532216076</v>
      </c>
      <c r="O120" s="27"/>
      <c r="P120" s="34">
        <f>SUM(P117:P119)</f>
        <v>-899395.98999999964</v>
      </c>
      <c r="Q120" s="15"/>
      <c r="R120" s="30">
        <f>IF(P$12=0,0,P120/P$12)</f>
        <v>-1.0986952685089317</v>
      </c>
      <c r="S120" s="15"/>
      <c r="T120" s="34">
        <f>SUM(T117:T119)</f>
        <v>-798920.33636425855</v>
      </c>
      <c r="U120" s="15"/>
      <c r="V120" s="30">
        <f>IF(T$12=0,0,T120/T$12)</f>
        <v>-0.76363651135700794</v>
      </c>
      <c r="W120" s="16"/>
      <c r="X120" s="34">
        <f>+P120-T120</f>
        <v>-100475.6536357411</v>
      </c>
      <c r="Y120" s="16"/>
      <c r="Z120" s="30">
        <f>IF(T120=0,0,X120/T120)</f>
        <v>0.12576429596596272</v>
      </c>
    </row>
    <row r="121" spans="1:26" ht="15" customHeight="1" x14ac:dyDescent="0.3">
      <c r="A121" s="10"/>
      <c r="C121" s="10"/>
      <c r="D121" s="19"/>
      <c r="E121" s="19"/>
      <c r="G121" s="19"/>
      <c r="H121" s="19"/>
      <c r="I121" s="19"/>
      <c r="J121" s="41"/>
      <c r="K121" s="19"/>
      <c r="L121" s="19"/>
      <c r="M121" s="19"/>
      <c r="P121" s="19"/>
      <c r="Q121" s="19"/>
      <c r="R121" s="41"/>
      <c r="S121" s="19"/>
      <c r="T121" s="19"/>
      <c r="U121" s="19"/>
      <c r="V121" s="41"/>
      <c r="W121" s="19"/>
      <c r="X121" s="19"/>
    </row>
    <row r="122" spans="1:26" ht="15" customHeight="1" x14ac:dyDescent="0.3">
      <c r="A122" s="10"/>
      <c r="B122" s="57">
        <v>44634.883418055557</v>
      </c>
      <c r="D122" s="19"/>
      <c r="E122" s="19"/>
      <c r="G122" s="19"/>
      <c r="H122" s="19"/>
      <c r="I122" s="19"/>
      <c r="J122" s="41"/>
      <c r="K122" s="19"/>
      <c r="L122" s="19"/>
      <c r="M122" s="19"/>
      <c r="P122" s="19"/>
      <c r="Q122" s="19"/>
      <c r="R122" s="41"/>
      <c r="S122" s="19"/>
      <c r="T122" s="19"/>
      <c r="U122" s="19"/>
      <c r="V122" s="41"/>
      <c r="W122" s="19"/>
      <c r="X122" s="19"/>
    </row>
    <row r="123" spans="1:26" ht="15" customHeight="1" x14ac:dyDescent="0.3">
      <c r="A123" s="10"/>
      <c r="B123" s="56" t="s">
        <v>298</v>
      </c>
      <c r="D123" s="19"/>
      <c r="E123" s="19"/>
      <c r="G123" s="19"/>
      <c r="H123" s="19"/>
      <c r="I123" s="19"/>
      <c r="J123" s="41"/>
      <c r="K123" s="19"/>
      <c r="L123" s="19"/>
      <c r="M123" s="19"/>
      <c r="P123" s="19"/>
      <c r="Q123" s="19"/>
      <c r="R123" s="41"/>
      <c r="S123" s="19"/>
      <c r="T123" s="19"/>
      <c r="U123" s="19"/>
      <c r="V123" s="41"/>
      <c r="W123" s="19"/>
      <c r="X123" s="19"/>
    </row>
    <row r="124" spans="1:26" ht="15" customHeight="1" x14ac:dyDescent="0.3">
      <c r="A124" s="10"/>
      <c r="B124" s="54"/>
      <c r="D124" s="19"/>
      <c r="E124" s="19"/>
      <c r="G124" s="19"/>
      <c r="H124" s="19"/>
      <c r="I124" s="19"/>
      <c r="J124" s="41"/>
      <c r="K124" s="19"/>
      <c r="L124" s="19"/>
      <c r="M124" s="19"/>
      <c r="P124" s="19"/>
      <c r="Q124" s="19"/>
      <c r="R124" s="41"/>
      <c r="S124" s="19"/>
      <c r="T124" s="19"/>
      <c r="U124" s="19"/>
      <c r="V124" s="41"/>
      <c r="W124" s="19"/>
      <c r="X124" s="19"/>
    </row>
    <row r="125" spans="1:26" ht="15" customHeight="1" x14ac:dyDescent="0.3">
      <c r="D125" s="19"/>
      <c r="E125" s="19"/>
      <c r="G125" s="19"/>
      <c r="H125" s="19"/>
      <c r="I125" s="19"/>
      <c r="J125" s="41"/>
      <c r="K125" s="19"/>
      <c r="L125" s="19"/>
      <c r="M125" s="19"/>
      <c r="P125" s="19"/>
      <c r="Q125" s="19"/>
      <c r="R125" s="41"/>
      <c r="S125" s="19"/>
      <c r="T125" s="19"/>
      <c r="U125" s="19"/>
      <c r="V125" s="41"/>
      <c r="W125" s="19"/>
      <c r="X125" s="19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13BFC-307E-E455-F0CF-36A9D92F9708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","405"," - ","Caffeine Lab")</f>
        <v>Department 405 - Caffeine Lab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88473.569999999992</v>
      </c>
      <c r="E12" s="5"/>
      <c r="F12" s="13"/>
      <c r="G12" s="5"/>
      <c r="H12" s="5">
        <f>SUM(OSRRefH13x_0)</f>
        <v>87554</v>
      </c>
      <c r="I12" s="5"/>
      <c r="J12" s="13"/>
      <c r="K12" s="5"/>
      <c r="L12" s="5">
        <f>+D12-H12</f>
        <v>919.56999999999243</v>
      </c>
      <c r="M12" s="5"/>
      <c r="N12" s="13">
        <f>IF(H12=0,0,L12/H12)</f>
        <v>1.0502889645247418E-2</v>
      </c>
      <c r="O12" s="11"/>
      <c r="P12" s="5">
        <f>SUM(OSRRefP13x_0)</f>
        <v>362571.44</v>
      </c>
      <c r="Q12" s="5"/>
      <c r="R12" s="13"/>
      <c r="S12" s="5"/>
      <c r="T12" s="5">
        <f>SUM(OSRRefT13x_0)</f>
        <v>255284</v>
      </c>
      <c r="U12" s="5"/>
      <c r="V12" s="13"/>
      <c r="W12" s="5"/>
      <c r="X12" s="5">
        <f>+P12-T12</f>
        <v>107287.44</v>
      </c>
      <c r="Y12" s="5"/>
      <c r="Z12" s="13">
        <f>IF(T12=0,0,X12/T12)</f>
        <v>0.42026699675655349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18335</v>
      </c>
      <c r="I13" s="3"/>
      <c r="J13" s="20"/>
      <c r="K13" s="3"/>
      <c r="L13" s="3">
        <f>+D13-H13</f>
        <v>-18335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53459</v>
      </c>
      <c r="U13" s="3"/>
      <c r="V13" s="20"/>
      <c r="W13" s="3"/>
      <c r="X13" s="3">
        <f>+P13-T13</f>
        <v>-53459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--19780.89</f>
        <v>19780.89</v>
      </c>
      <c r="E14" s="3"/>
      <c r="F14" s="20"/>
      <c r="G14" s="3"/>
      <c r="H14" s="3"/>
      <c r="I14" s="3"/>
      <c r="J14" s="20"/>
      <c r="K14" s="3"/>
      <c r="L14" s="3">
        <f>+D14-H14</f>
        <v>19780.89</v>
      </c>
      <c r="M14" s="3"/>
      <c r="N14" s="20">
        <f>IF(H14=0,0,L14/H14)</f>
        <v>0</v>
      </c>
      <c r="O14" s="12"/>
      <c r="P14" s="3">
        <f>--43484.05</f>
        <v>43484.05</v>
      </c>
      <c r="Q14" s="3"/>
      <c r="R14" s="20"/>
      <c r="S14" s="3"/>
      <c r="T14" s="3"/>
      <c r="U14" s="3"/>
      <c r="V14" s="20"/>
      <c r="W14" s="3"/>
      <c r="X14" s="3">
        <f>+P14-T14</f>
        <v>43484.05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69219</v>
      </c>
      <c r="I15" s="3"/>
      <c r="J15" s="20"/>
      <c r="K15" s="3"/>
      <c r="L15" s="3">
        <f>+D15-H15</f>
        <v>-69219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201825</v>
      </c>
      <c r="U15" s="3"/>
      <c r="V15" s="20"/>
      <c r="W15" s="3"/>
      <c r="X15" s="3">
        <f>+P15-T15</f>
        <v>-201825</v>
      </c>
      <c r="Y15" s="3"/>
      <c r="Z15" s="20">
        <f>IF(T15=0,0,X15/T15)</f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--68692.68</f>
        <v>68692.679999999993</v>
      </c>
      <c r="E16" s="3"/>
      <c r="F16" s="20"/>
      <c r="G16" s="3"/>
      <c r="H16" s="3"/>
      <c r="I16" s="3"/>
      <c r="J16" s="20"/>
      <c r="K16" s="3"/>
      <c r="L16" s="3">
        <f>+D16-H16</f>
        <v>68692.679999999993</v>
      </c>
      <c r="M16" s="3"/>
      <c r="N16" s="20">
        <f>IF(H16=0,0,L16/H16)</f>
        <v>0</v>
      </c>
      <c r="O16" s="12"/>
      <c r="P16" s="3">
        <f>--319087.39</f>
        <v>319087.39</v>
      </c>
      <c r="Q16" s="3"/>
      <c r="R16" s="20"/>
      <c r="S16" s="3"/>
      <c r="T16" s="3"/>
      <c r="U16" s="3"/>
      <c r="V16" s="20"/>
      <c r="W16" s="3"/>
      <c r="X16" s="3">
        <f>+P16-T16</f>
        <v>319087.39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38677.869999999995</v>
      </c>
      <c r="E18" s="5"/>
      <c r="F18" s="13">
        <f>IF(D$12=0,0,D18/D$12)</f>
        <v>0.43716863691608693</v>
      </c>
      <c r="G18" s="5"/>
      <c r="H18" s="5">
        <f>SUM(OSRRefH16x_0)</f>
        <v>33270</v>
      </c>
      <c r="I18" s="5"/>
      <c r="J18" s="13">
        <f>IF(H$12=0,0,H18/H$12)</f>
        <v>0.37999406080818693</v>
      </c>
      <c r="K18" s="5"/>
      <c r="L18" s="5">
        <f>+D18-H18</f>
        <v>5407.8699999999953</v>
      </c>
      <c r="M18" s="5"/>
      <c r="N18" s="13">
        <f>IF(H18=0,0,L18/H18)</f>
        <v>0.16254493537721657</v>
      </c>
      <c r="O18" s="11"/>
      <c r="P18" s="5">
        <f>SUM(OSRRefP16x_0)</f>
        <v>157823.6</v>
      </c>
      <c r="Q18" s="5"/>
      <c r="R18" s="13">
        <f>IF(P$12=0,0,P18/P$12)</f>
        <v>0.43528966319023915</v>
      </c>
      <c r="S18" s="5"/>
      <c r="T18" s="5">
        <f>SUM(OSRRefT16x_0)</f>
        <v>97007</v>
      </c>
      <c r="U18" s="5"/>
      <c r="V18" s="13">
        <f>IF(T$12=0,0,T18/T$12)</f>
        <v>0.37999639617053949</v>
      </c>
      <c r="W18" s="5"/>
      <c r="X18" s="5">
        <f>+P18-T18</f>
        <v>60816.600000000006</v>
      </c>
      <c r="Y18" s="5"/>
      <c r="Z18" s="13">
        <f>IF(T18=0,0,X18/T18)</f>
        <v>0.62693001535971637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33270</v>
      </c>
      <c r="I19" s="3"/>
      <c r="J19" s="20">
        <f>IF(H$12=0,0,H19/H$12)</f>
        <v>0.37999406080818693</v>
      </c>
      <c r="K19" s="3"/>
      <c r="L19" s="3">
        <f>+D19-H19</f>
        <v>-33270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97007</v>
      </c>
      <c r="U19" s="3"/>
      <c r="V19" s="20">
        <f>IF(T$12=0,0,T19/T$12)</f>
        <v>0.37999639617053949</v>
      </c>
      <c r="W19" s="3"/>
      <c r="X19" s="3">
        <f>+P19-T19</f>
        <v>-97007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25052.35</v>
      </c>
      <c r="E20" s="3"/>
      <c r="F20" s="20">
        <f>IF(D$12=0,0,D20/D$12)</f>
        <v>0.28316196577124669</v>
      </c>
      <c r="G20" s="3"/>
      <c r="H20" s="3"/>
      <c r="I20" s="3"/>
      <c r="J20" s="20">
        <f>IF(H$12=0,0,H20/H$12)</f>
        <v>0</v>
      </c>
      <c r="K20" s="3"/>
      <c r="L20" s="3">
        <f>+D20-H20</f>
        <v>25052.35</v>
      </c>
      <c r="M20" s="3"/>
      <c r="N20" s="20">
        <f>IF(H20=0,0,L20/H20)</f>
        <v>0</v>
      </c>
      <c r="O20" s="12"/>
      <c r="P20" s="3">
        <v>126843.88</v>
      </c>
      <c r="Q20" s="3"/>
      <c r="R20" s="20">
        <f>IF(P$12=0,0,P20/P$12)</f>
        <v>0.34984520567863814</v>
      </c>
      <c r="S20" s="3"/>
      <c r="T20" s="3"/>
      <c r="U20" s="3"/>
      <c r="V20" s="20">
        <f>IF(T$12=0,0,T20/T$12)</f>
        <v>0</v>
      </c>
      <c r="W20" s="3"/>
      <c r="X20" s="3">
        <f>+P20-T20</f>
        <v>126843.88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13625.52</v>
      </c>
      <c r="E21" s="3"/>
      <c r="F21" s="20">
        <f>IF(D$12=0,0,D21/D$12)</f>
        <v>0.15400667114484023</v>
      </c>
      <c r="G21" s="3"/>
      <c r="H21" s="3"/>
      <c r="I21" s="3"/>
      <c r="J21" s="20">
        <f>IF(H$12=0,0,H21/H$12)</f>
        <v>0</v>
      </c>
      <c r="K21" s="3"/>
      <c r="L21" s="3">
        <f>+D21-H21</f>
        <v>13625.52</v>
      </c>
      <c r="M21" s="3"/>
      <c r="N21" s="20">
        <f>IF(H21=0,0,L21/H21)</f>
        <v>0</v>
      </c>
      <c r="O21" s="12"/>
      <c r="P21" s="3">
        <v>30979.72</v>
      </c>
      <c r="Q21" s="3"/>
      <c r="R21" s="20">
        <f>IF(P$12=0,0,P21/P$12)</f>
        <v>8.5444457511601027E-2</v>
      </c>
      <c r="S21" s="3"/>
      <c r="T21" s="3"/>
      <c r="U21" s="3"/>
      <c r="V21" s="20">
        <f>IF(T$12=0,0,T21/T$12)</f>
        <v>0</v>
      </c>
      <c r="W21" s="3"/>
      <c r="X21" s="3">
        <f>+P21-T21</f>
        <v>30979.72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D12-D18</f>
        <v>49795.7</v>
      </c>
      <c r="E23" s="15"/>
      <c r="F23" s="22">
        <f>IF(D$12=0,0,D23/D$12)</f>
        <v>0.56283136308391313</v>
      </c>
      <c r="G23" s="15"/>
      <c r="H23" s="21">
        <f>H12-H18</f>
        <v>54284</v>
      </c>
      <c r="I23" s="15"/>
      <c r="J23" s="22">
        <f>IF(H$12=0,0,H23/H$12)</f>
        <v>0.62000593919181302</v>
      </c>
      <c r="K23" s="16"/>
      <c r="L23" s="21">
        <f>+D23-H23</f>
        <v>-4488.3000000000029</v>
      </c>
      <c r="M23" s="16"/>
      <c r="N23" s="22">
        <f>IF(H23=0,0,L23/H23)</f>
        <v>-8.2681821531206304E-2</v>
      </c>
      <c r="O23" s="27"/>
      <c r="P23" s="21">
        <f>P12-P18</f>
        <v>204747.84</v>
      </c>
      <c r="Q23" s="15"/>
      <c r="R23" s="22">
        <f>IF(P$12=0,0,P23/P$12)</f>
        <v>0.56471033680976079</v>
      </c>
      <c r="S23" s="15"/>
      <c r="T23" s="21">
        <f>T12-T18</f>
        <v>158277</v>
      </c>
      <c r="U23" s="15"/>
      <c r="V23" s="22">
        <f>IF(T$12=0,0,T23/T$12)</f>
        <v>0.62000360382946051</v>
      </c>
      <c r="W23" s="16"/>
      <c r="X23" s="21">
        <f>+P23-T23</f>
        <v>46470.84</v>
      </c>
      <c r="Y23" s="16"/>
      <c r="Z23" s="22">
        <f>IF(T23=0,0,X23/T23)</f>
        <v>0.29360450349703365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44164.69</v>
      </c>
      <c r="E25" s="23"/>
      <c r="F25" s="29">
        <f t="shared" ref="F25:F56" si="0">IF(D$12=0,0,D25/D$12)</f>
        <v>0.49918512387371738</v>
      </c>
      <c r="G25" s="23"/>
      <c r="H25" s="23" cm="1">
        <f t="array" ref="H25">SUM(OSRRefH22x_0)</f>
        <v>42852.71597784615</v>
      </c>
      <c r="I25" s="23"/>
      <c r="J25" s="29">
        <f t="shared" ref="J25:J56" si="1">IF(H$12=0,0,H25/H$12)</f>
        <v>0.48944326904363195</v>
      </c>
      <c r="K25" s="5"/>
      <c r="L25" s="23">
        <f t="shared" ref="L25:L56" si="2">+D25-H25</f>
        <v>1311.9740221538523</v>
      </c>
      <c r="M25" s="5"/>
      <c r="N25" s="29">
        <f t="shared" ref="N25:N56" si="3">IF(H25=0,0,L25/H25)</f>
        <v>3.0615889616707425E-2</v>
      </c>
      <c r="O25" s="11"/>
      <c r="P25" s="23" cm="1">
        <f t="array" ref="P25">SUM(OSRRefP22x_0)</f>
        <v>264997.06999999995</v>
      </c>
      <c r="Q25" s="23"/>
      <c r="R25" s="29">
        <f t="shared" ref="R25:R56" si="4">IF(P$12=0,0,P25/P$12)</f>
        <v>0.73088236072868829</v>
      </c>
      <c r="S25" s="23"/>
      <c r="T25" s="23" cm="1">
        <f t="array" ref="T25">SUM(OSRRefT22x_0)</f>
        <v>263648.72782015381</v>
      </c>
      <c r="U25" s="23"/>
      <c r="V25" s="29">
        <f t="shared" ref="V25:V56" si="5">IF(T$12=0,0,T25/T$12)</f>
        <v>1.0327663614646974</v>
      </c>
      <c r="W25" s="5"/>
      <c r="X25" s="23">
        <f t="shared" ref="X25:X56" si="6">+P25-T25</f>
        <v>1348.342179846135</v>
      </c>
      <c r="Y25" s="5"/>
      <c r="Z25" s="29">
        <f t="shared" ref="Z25:Z56" si="7">IF(T25=0,0,X25/T25)</f>
        <v>5.1141615246704224E-3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5297.03</v>
      </c>
      <c r="E26" s="2"/>
      <c r="F26" s="6">
        <f t="shared" si="0"/>
        <v>5.9871326544187156E-2</v>
      </c>
      <c r="G26" s="2"/>
      <c r="H26" s="2">
        <f>SUM(OSRRefH22_0x_0)</f>
        <v>4598.9500163076918</v>
      </c>
      <c r="I26" s="2"/>
      <c r="J26" s="6">
        <f t="shared" si="1"/>
        <v>5.2527012087485343E-2</v>
      </c>
      <c r="K26" s="2"/>
      <c r="L26" s="2">
        <f t="shared" si="2"/>
        <v>698.07998369230791</v>
      </c>
      <c r="M26" s="2"/>
      <c r="N26" s="6">
        <f t="shared" si="3"/>
        <v>0.1517911656393186</v>
      </c>
      <c r="O26" s="14"/>
      <c r="P26" s="2">
        <f>SUM(OSRRefP22_0x_0)</f>
        <v>35037.83</v>
      </c>
      <c r="Q26" s="2"/>
      <c r="R26" s="6">
        <f t="shared" si="4"/>
        <v>9.6637037931062639E-2</v>
      </c>
      <c r="S26" s="2"/>
      <c r="T26" s="2">
        <f>SUM(OSRRefT22_0x_0)</f>
        <v>33344.215531692309</v>
      </c>
      <c r="U26" s="2"/>
      <c r="V26" s="6">
        <f t="shared" si="5"/>
        <v>0.1306161589903492</v>
      </c>
      <c r="W26" s="2"/>
      <c r="X26" s="2">
        <f t="shared" si="6"/>
        <v>1693.6144683076927</v>
      </c>
      <c r="Y26" s="2"/>
      <c r="Z26" s="6">
        <f t="shared" si="7"/>
        <v>5.0791852238898275E-2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905.51</v>
      </c>
      <c r="E27" s="3"/>
      <c r="F27" s="7">
        <f t="shared" si="0"/>
        <v>1.0234807977116782E-2</v>
      </c>
      <c r="G27" s="3"/>
      <c r="H27" s="8">
        <v>367.28748553846202</v>
      </c>
      <c r="I27" s="3"/>
      <c r="J27" s="7">
        <f t="shared" si="1"/>
        <v>4.1949823598974581E-3</v>
      </c>
      <c r="K27" s="3"/>
      <c r="L27" s="8">
        <f t="shared" si="2"/>
        <v>538.22251446153791</v>
      </c>
      <c r="M27" s="3"/>
      <c r="N27" s="7">
        <f t="shared" si="3"/>
        <v>1.4653984566680145</v>
      </c>
      <c r="O27" s="12"/>
      <c r="P27" s="8">
        <v>6314.3</v>
      </c>
      <c r="Q27" s="3"/>
      <c r="R27" s="7">
        <f t="shared" si="4"/>
        <v>1.7415326480210356E-2</v>
      </c>
      <c r="S27" s="3"/>
      <c r="T27" s="8">
        <v>3388.5447124615398</v>
      </c>
      <c r="U27" s="3"/>
      <c r="V27" s="7">
        <f t="shared" si="5"/>
        <v>1.3273627459854671E-2</v>
      </c>
      <c r="W27" s="3"/>
      <c r="X27" s="8">
        <f t="shared" si="6"/>
        <v>2925.7552875384604</v>
      </c>
      <c r="Y27" s="3"/>
      <c r="Z27" s="7">
        <f t="shared" si="7"/>
        <v>0.8634253155281828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712.56</v>
      </c>
      <c r="E28" s="3"/>
      <c r="F28" s="7">
        <f t="shared" si="0"/>
        <v>8.0539306823495423E-3</v>
      </c>
      <c r="G28" s="3"/>
      <c r="H28" s="8">
        <v>945.30223730769205</v>
      </c>
      <c r="I28" s="3"/>
      <c r="J28" s="7">
        <f t="shared" si="1"/>
        <v>1.0796790978227061E-2</v>
      </c>
      <c r="K28" s="3"/>
      <c r="L28" s="8">
        <f t="shared" si="2"/>
        <v>-232.74223730769211</v>
      </c>
      <c r="M28" s="3"/>
      <c r="N28" s="7">
        <f t="shared" si="3"/>
        <v>-0.24620933720686355</v>
      </c>
      <c r="O28" s="12"/>
      <c r="P28" s="8">
        <v>4922.75</v>
      </c>
      <c r="Q28" s="3"/>
      <c r="R28" s="7">
        <f t="shared" si="4"/>
        <v>1.357732423712138E-2</v>
      </c>
      <c r="S28" s="3"/>
      <c r="T28" s="8">
        <v>5365.7991301923103</v>
      </c>
      <c r="U28" s="3"/>
      <c r="V28" s="7">
        <f t="shared" si="5"/>
        <v>2.1018940200687508E-2</v>
      </c>
      <c r="W28" s="3"/>
      <c r="X28" s="8">
        <f t="shared" si="6"/>
        <v>-443.04913019231026</v>
      </c>
      <c r="Y28" s="3"/>
      <c r="Z28" s="7">
        <f t="shared" si="7"/>
        <v>-8.2569086065737873E-2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2033.2</v>
      </c>
      <c r="E29" s="3"/>
      <c r="F29" s="7">
        <f t="shared" si="0"/>
        <v>2.2980874401247742E-2</v>
      </c>
      <c r="G29" s="3"/>
      <c r="H29" s="8">
        <v>1977</v>
      </c>
      <c r="I29" s="3"/>
      <c r="J29" s="7">
        <f t="shared" si="1"/>
        <v>2.2580350412316971E-2</v>
      </c>
      <c r="K29" s="3"/>
      <c r="L29" s="8">
        <f t="shared" si="2"/>
        <v>56.200000000000045</v>
      </c>
      <c r="M29" s="3"/>
      <c r="N29" s="7">
        <f t="shared" si="3"/>
        <v>2.8426909458775945E-2</v>
      </c>
      <c r="O29" s="12"/>
      <c r="P29" s="8">
        <v>11666.23</v>
      </c>
      <c r="Q29" s="3"/>
      <c r="R29" s="7">
        <f t="shared" si="4"/>
        <v>3.217636226394445E-2</v>
      </c>
      <c r="S29" s="3"/>
      <c r="T29" s="8">
        <v>15816</v>
      </c>
      <c r="U29" s="3"/>
      <c r="V29" s="7">
        <f t="shared" si="5"/>
        <v>6.1954529073502455E-2</v>
      </c>
      <c r="W29" s="3"/>
      <c r="X29" s="8">
        <f t="shared" si="6"/>
        <v>-4149.7700000000004</v>
      </c>
      <c r="Y29" s="3"/>
      <c r="Z29" s="7">
        <f t="shared" si="7"/>
        <v>-0.26237797167425397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51.46</v>
      </c>
      <c r="E30" s="3"/>
      <c r="F30" s="7">
        <f t="shared" si="0"/>
        <v>5.8164263067490103E-4</v>
      </c>
      <c r="G30" s="3"/>
      <c r="H30" s="8">
        <v>52.378224230769199</v>
      </c>
      <c r="I30" s="3"/>
      <c r="J30" s="7">
        <f t="shared" si="1"/>
        <v>5.982390779492564E-4</v>
      </c>
      <c r="K30" s="3"/>
      <c r="L30" s="8">
        <f t="shared" si="2"/>
        <v>-0.9182242307691979</v>
      </c>
      <c r="M30" s="3"/>
      <c r="N30" s="7">
        <f t="shared" si="3"/>
        <v>-1.7530648361114044E-2</v>
      </c>
      <c r="O30" s="12"/>
      <c r="P30" s="8">
        <v>355.53</v>
      </c>
      <c r="Q30" s="3"/>
      <c r="R30" s="7">
        <f t="shared" si="4"/>
        <v>9.8057916530877327E-4</v>
      </c>
      <c r="S30" s="3"/>
      <c r="T30" s="8">
        <v>297.31340826923099</v>
      </c>
      <c r="U30" s="3"/>
      <c r="V30" s="7">
        <f t="shared" si="5"/>
        <v>1.1646378475314982E-3</v>
      </c>
      <c r="W30" s="3"/>
      <c r="X30" s="8">
        <f t="shared" si="6"/>
        <v>58.216591730768982</v>
      </c>
      <c r="Y30" s="3"/>
      <c r="Z30" s="7">
        <f t="shared" si="7"/>
        <v>0.19580883374775743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408.69</v>
      </c>
      <c r="E31" s="3"/>
      <c r="F31" s="7">
        <f t="shared" si="0"/>
        <v>4.619345641867962E-3</v>
      </c>
      <c r="G31" s="3"/>
      <c r="H31" s="8">
        <v>412.736492307692</v>
      </c>
      <c r="I31" s="3"/>
      <c r="J31" s="7">
        <f t="shared" si="1"/>
        <v>4.7140792231958788E-3</v>
      </c>
      <c r="K31" s="3"/>
      <c r="L31" s="8">
        <f t="shared" si="2"/>
        <v>-4.0464923076920059</v>
      </c>
      <c r="M31" s="3"/>
      <c r="N31" s="7">
        <f t="shared" si="3"/>
        <v>-9.8040575115305676E-3</v>
      </c>
      <c r="O31" s="12"/>
      <c r="P31" s="8">
        <v>3310.39</v>
      </c>
      <c r="Q31" s="3"/>
      <c r="R31" s="7">
        <f t="shared" si="4"/>
        <v>9.130310980920063E-3</v>
      </c>
      <c r="S31" s="3"/>
      <c r="T31" s="8">
        <v>3431.25710769231</v>
      </c>
      <c r="U31" s="3"/>
      <c r="V31" s="7">
        <f t="shared" si="5"/>
        <v>1.3440940707965678E-2</v>
      </c>
      <c r="W31" s="3"/>
      <c r="X31" s="8">
        <f t="shared" si="6"/>
        <v>-120.86710769231013</v>
      </c>
      <c r="Y31" s="3"/>
      <c r="Z31" s="7">
        <f t="shared" si="7"/>
        <v>-3.5225313609215145E-2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8">
        <v>324.33999999999997</v>
      </c>
      <c r="E33" s="3"/>
      <c r="F33" s="7">
        <f t="shared" si="0"/>
        <v>3.6659535723493467E-3</v>
      </c>
      <c r="G33" s="3"/>
      <c r="H33" s="8">
        <v>143.977846153846</v>
      </c>
      <c r="I33" s="3"/>
      <c r="J33" s="7">
        <f t="shared" si="1"/>
        <v>1.6444462406497247E-3</v>
      </c>
      <c r="K33" s="3"/>
      <c r="L33" s="8">
        <f t="shared" si="2"/>
        <v>180.36215384615397</v>
      </c>
      <c r="M33" s="3"/>
      <c r="N33" s="7">
        <f t="shared" si="3"/>
        <v>1.2527076815236553</v>
      </c>
      <c r="O33" s="12"/>
      <c r="P33" s="8">
        <v>2628.51</v>
      </c>
      <c r="Q33" s="3"/>
      <c r="R33" s="7">
        <f t="shared" si="4"/>
        <v>7.2496333412251117E-3</v>
      </c>
      <c r="S33" s="3"/>
      <c r="T33" s="8">
        <v>1196.95015384615</v>
      </c>
      <c r="U33" s="3"/>
      <c r="V33" s="7">
        <f t="shared" si="5"/>
        <v>4.688700246964753E-3</v>
      </c>
      <c r="W33" s="3"/>
      <c r="X33" s="8">
        <f t="shared" si="6"/>
        <v>1431.5598461538502</v>
      </c>
      <c r="Y33" s="3"/>
      <c r="Z33" s="7">
        <f t="shared" si="7"/>
        <v>1.196006234306275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8">
        <v>388.58</v>
      </c>
      <c r="E34" s="3"/>
      <c r="F34" s="7">
        <f t="shared" si="0"/>
        <v>4.3920461217965999E-3</v>
      </c>
      <c r="G34" s="3"/>
      <c r="H34" s="8">
        <v>700.26773076923098</v>
      </c>
      <c r="I34" s="3"/>
      <c r="J34" s="7">
        <f t="shared" si="1"/>
        <v>7.9981237952489997E-3</v>
      </c>
      <c r="K34" s="3"/>
      <c r="L34" s="8">
        <f t="shared" si="2"/>
        <v>-311.687730769231</v>
      </c>
      <c r="M34" s="3"/>
      <c r="N34" s="7">
        <f t="shared" si="3"/>
        <v>-0.44509794907563122</v>
      </c>
      <c r="O34" s="12"/>
      <c r="P34" s="8">
        <v>3058.75</v>
      </c>
      <c r="Q34" s="3"/>
      <c r="R34" s="7">
        <f t="shared" si="4"/>
        <v>8.436268449605407E-3</v>
      </c>
      <c r="S34" s="3"/>
      <c r="T34" s="8">
        <v>3848.3510192307699</v>
      </c>
      <c r="U34" s="3"/>
      <c r="V34" s="7">
        <f t="shared" si="5"/>
        <v>1.5074783453842661E-2</v>
      </c>
      <c r="W34" s="3"/>
      <c r="X34" s="8">
        <f t="shared" si="6"/>
        <v>-789.60101923076991</v>
      </c>
      <c r="Y34" s="3"/>
      <c r="Z34" s="7">
        <f t="shared" si="7"/>
        <v>-0.20517905338806641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8">
        <v>472.69</v>
      </c>
      <c r="E35" s="3"/>
      <c r="F35" s="7">
        <f t="shared" si="0"/>
        <v>5.3427255167842781E-3</v>
      </c>
      <c r="G35" s="3"/>
      <c r="H35" s="8"/>
      <c r="I35" s="3"/>
      <c r="J35" s="7">
        <f t="shared" si="1"/>
        <v>0</v>
      </c>
      <c r="K35" s="3"/>
      <c r="L35" s="8">
        <f t="shared" si="2"/>
        <v>472.69</v>
      </c>
      <c r="M35" s="3"/>
      <c r="N35" s="7">
        <f t="shared" si="3"/>
        <v>0</v>
      </c>
      <c r="O35" s="12"/>
      <c r="P35" s="8">
        <v>2781.37</v>
      </c>
      <c r="Q35" s="3"/>
      <c r="R35" s="7">
        <f t="shared" si="4"/>
        <v>7.6712330127270915E-3</v>
      </c>
      <c r="S35" s="3"/>
      <c r="T35" s="8"/>
      <c r="U35" s="3"/>
      <c r="V35" s="7">
        <f t="shared" si="5"/>
        <v>0</v>
      </c>
      <c r="W35" s="3"/>
      <c r="X35" s="8">
        <f t="shared" si="6"/>
        <v>2781.37</v>
      </c>
      <c r="Y35" s="3"/>
      <c r="Z35" s="7">
        <f t="shared" si="7"/>
        <v>0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23863.739999999998</v>
      </c>
      <c r="E36" s="2"/>
      <c r="F36" s="6">
        <f t="shared" si="0"/>
        <v>0.26972733212867978</v>
      </c>
      <c r="G36" s="2"/>
      <c r="H36" s="2">
        <f>SUM(OSRRefH22_1x_0)</f>
        <v>24097.765961538462</v>
      </c>
      <c r="I36" s="2"/>
      <c r="J36" s="6">
        <f t="shared" si="1"/>
        <v>0.27523318136850927</v>
      </c>
      <c r="K36" s="2"/>
      <c r="L36" s="2">
        <f t="shared" si="2"/>
        <v>-234.02596153846389</v>
      </c>
      <c r="M36" s="2"/>
      <c r="N36" s="6">
        <f t="shared" si="3"/>
        <v>-9.7115210560175542E-3</v>
      </c>
      <c r="O36" s="14"/>
      <c r="P36" s="2">
        <f>SUM(OSRRefP22_1x_0)</f>
        <v>139967.51</v>
      </c>
      <c r="Q36" s="2"/>
      <c r="R36" s="6">
        <f t="shared" si="4"/>
        <v>0.38604118956528954</v>
      </c>
      <c r="S36" s="2"/>
      <c r="T36" s="2">
        <f>SUM(OSRRefT22_1x_0)</f>
        <v>136532.5122884615</v>
      </c>
      <c r="U36" s="2"/>
      <c r="V36" s="6">
        <f t="shared" si="5"/>
        <v>0.53482596750466738</v>
      </c>
      <c r="W36" s="2"/>
      <c r="X36" s="2">
        <f t="shared" si="6"/>
        <v>3434.9977115385118</v>
      </c>
      <c r="Y36" s="2"/>
      <c r="Z36" s="6">
        <f t="shared" si="7"/>
        <v>2.5158825937965305E-2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8">
        <v>5384.62</v>
      </c>
      <c r="E38" s="3"/>
      <c r="F38" s="7">
        <f t="shared" si="0"/>
        <v>6.0861339719873411E-2</v>
      </c>
      <c r="G38" s="3"/>
      <c r="H38" s="8">
        <v>4559.2984615384603</v>
      </c>
      <c r="I38" s="3"/>
      <c r="J38" s="7">
        <f t="shared" si="1"/>
        <v>5.2074130953907991E-2</v>
      </c>
      <c r="K38" s="3"/>
      <c r="L38" s="8">
        <f t="shared" si="2"/>
        <v>825.3215384615396</v>
      </c>
      <c r="M38" s="3"/>
      <c r="N38" s="7">
        <f t="shared" si="3"/>
        <v>0.18101941459279866</v>
      </c>
      <c r="O38" s="12"/>
      <c r="P38" s="8">
        <v>43076.800000000003</v>
      </c>
      <c r="Q38" s="3"/>
      <c r="R38" s="7">
        <f t="shared" si="4"/>
        <v>0.11880913731098071</v>
      </c>
      <c r="S38" s="3"/>
      <c r="T38" s="8">
        <v>37903.421538461502</v>
      </c>
      <c r="U38" s="3"/>
      <c r="V38" s="7">
        <f t="shared" si="5"/>
        <v>0.14847550782055086</v>
      </c>
      <c r="W38" s="3"/>
      <c r="X38" s="8">
        <f t="shared" si="6"/>
        <v>5173.3784615385011</v>
      </c>
      <c r="Y38" s="3"/>
      <c r="Z38" s="7">
        <f t="shared" si="7"/>
        <v>0.13648842905353414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8">
        <v>3577.46</v>
      </c>
      <c r="E40" s="3"/>
      <c r="F40" s="7">
        <f t="shared" si="0"/>
        <v>4.0435352614345735E-2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3577.46</v>
      </c>
      <c r="M40" s="3"/>
      <c r="N40" s="7">
        <f t="shared" si="3"/>
        <v>0</v>
      </c>
      <c r="O40" s="12"/>
      <c r="P40" s="8">
        <v>16191.39</v>
      </c>
      <c r="Q40" s="3"/>
      <c r="R40" s="7">
        <f t="shared" si="4"/>
        <v>4.4657102611281238E-2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16191.39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8">
        <v>4599.88</v>
      </c>
      <c r="E41" s="3"/>
      <c r="F41" s="7">
        <f t="shared" si="0"/>
        <v>5.1991572172344812E-2</v>
      </c>
      <c r="G41" s="3"/>
      <c r="H41" s="8">
        <v>8100.8095000000003</v>
      </c>
      <c r="I41" s="3"/>
      <c r="J41" s="7">
        <f t="shared" si="1"/>
        <v>9.2523579733650094E-2</v>
      </c>
      <c r="K41" s="3"/>
      <c r="L41" s="8">
        <f t="shared" si="2"/>
        <v>-3500.9295000000002</v>
      </c>
      <c r="M41" s="3"/>
      <c r="N41" s="7">
        <f t="shared" si="3"/>
        <v>-0.43217032816288298</v>
      </c>
      <c r="O41" s="12"/>
      <c r="P41" s="8">
        <v>18922.48</v>
      </c>
      <c r="Q41" s="3"/>
      <c r="R41" s="7">
        <f t="shared" si="4"/>
        <v>5.2189659505448086E-2</v>
      </c>
      <c r="S41" s="3"/>
      <c r="T41" s="8">
        <v>47363.431600000004</v>
      </c>
      <c r="U41" s="3"/>
      <c r="V41" s="7">
        <f t="shared" si="5"/>
        <v>0.18553231538208428</v>
      </c>
      <c r="W41" s="3"/>
      <c r="X41" s="8">
        <f t="shared" si="6"/>
        <v>-28440.951600000004</v>
      </c>
      <c r="Y41" s="3"/>
      <c r="Z41" s="7">
        <f t="shared" si="7"/>
        <v>-0.60048333997826298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8"/>
      <c r="E42" s="3"/>
      <c r="F42" s="7">
        <f t="shared" si="0"/>
        <v>0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8">
        <v>10301.780000000001</v>
      </c>
      <c r="E43" s="3"/>
      <c r="F43" s="7">
        <f t="shared" si="0"/>
        <v>0.11643906762211587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10301.780000000001</v>
      </c>
      <c r="M43" s="3"/>
      <c r="N43" s="7">
        <f t="shared" si="3"/>
        <v>0</v>
      </c>
      <c r="O43" s="12"/>
      <c r="P43" s="8">
        <v>61776.84</v>
      </c>
      <c r="Q43" s="3"/>
      <c r="R43" s="7">
        <f t="shared" si="4"/>
        <v>0.1703852901375795</v>
      </c>
      <c r="S43" s="3"/>
      <c r="T43" s="8">
        <v>4247.63</v>
      </c>
      <c r="U43" s="3"/>
      <c r="V43" s="7">
        <f t="shared" si="5"/>
        <v>1.6638841447172561E-2</v>
      </c>
      <c r="W43" s="3"/>
      <c r="X43" s="8">
        <f t="shared" si="6"/>
        <v>57529.21</v>
      </c>
      <c r="Y43" s="3"/>
      <c r="Z43" s="7">
        <f t="shared" si="7"/>
        <v>13.543837386966379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8"/>
      <c r="E44" s="3"/>
      <c r="F44" s="7">
        <f t="shared" si="0"/>
        <v>0</v>
      </c>
      <c r="G44" s="3"/>
      <c r="H44" s="8">
        <v>11437.657999999999</v>
      </c>
      <c r="I44" s="3"/>
      <c r="J44" s="7">
        <f t="shared" si="1"/>
        <v>0.13063547068095119</v>
      </c>
      <c r="K44" s="3"/>
      <c r="L44" s="8">
        <f t="shared" si="2"/>
        <v>-11437.657999999999</v>
      </c>
      <c r="M44" s="3"/>
      <c r="N44" s="7">
        <f t="shared" si="3"/>
        <v>-1</v>
      </c>
      <c r="O44" s="12"/>
      <c r="P44" s="8"/>
      <c r="Q44" s="3"/>
      <c r="R44" s="7">
        <f t="shared" si="4"/>
        <v>0</v>
      </c>
      <c r="S44" s="3"/>
      <c r="T44" s="8">
        <v>47018.029150000002</v>
      </c>
      <c r="U44" s="3"/>
      <c r="V44" s="7">
        <f t="shared" si="5"/>
        <v>0.1841793028548597</v>
      </c>
      <c r="W44" s="3"/>
      <c r="X44" s="8">
        <f t="shared" si="6"/>
        <v>-47018.029150000002</v>
      </c>
      <c r="Y44" s="3"/>
      <c r="Z44" s="7">
        <f t="shared" si="7"/>
        <v>-1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8"/>
      <c r="E45" s="3"/>
      <c r="F45" s="7">
        <f t="shared" si="0"/>
        <v>0</v>
      </c>
      <c r="G45" s="3"/>
      <c r="H45" s="8">
        <v>0</v>
      </c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/>
      <c r="Q45" s="3"/>
      <c r="R45" s="7">
        <f t="shared" si="4"/>
        <v>0</v>
      </c>
      <c r="S45" s="3"/>
      <c r="T45" s="8">
        <v>0</v>
      </c>
      <c r="U45" s="3"/>
      <c r="V45" s="7">
        <f t="shared" si="5"/>
        <v>0</v>
      </c>
      <c r="W45" s="3"/>
      <c r="X45" s="8">
        <f t="shared" si="6"/>
        <v>0</v>
      </c>
      <c r="Y45" s="3"/>
      <c r="Z45" s="7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17.64</v>
      </c>
      <c r="E47" s="2"/>
      <c r="F47" s="6">
        <f t="shared" si="0"/>
        <v>1.9938157802380985E-4</v>
      </c>
      <c r="G47" s="2"/>
      <c r="H47" s="2">
        <f>SUM(OSRRefH22_2x_0)</f>
        <v>0</v>
      </c>
      <c r="I47" s="2"/>
      <c r="J47" s="6">
        <f t="shared" si="1"/>
        <v>0</v>
      </c>
      <c r="K47" s="2"/>
      <c r="L47" s="2">
        <f t="shared" si="2"/>
        <v>17.64</v>
      </c>
      <c r="M47" s="2"/>
      <c r="N47" s="6">
        <f t="shared" si="3"/>
        <v>0</v>
      </c>
      <c r="O47" s="14"/>
      <c r="P47" s="2">
        <f>SUM(OSRRefP22_2x_0)</f>
        <v>258.61</v>
      </c>
      <c r="Q47" s="2"/>
      <c r="R47" s="6">
        <f t="shared" si="4"/>
        <v>7.1326632897505667E-4</v>
      </c>
      <c r="S47" s="2"/>
      <c r="T47" s="2">
        <f>SUM(OSRRefT22_2x_0)</f>
        <v>0</v>
      </c>
      <c r="U47" s="2"/>
      <c r="V47" s="6">
        <f t="shared" si="5"/>
        <v>0</v>
      </c>
      <c r="W47" s="2"/>
      <c r="X47" s="2">
        <f t="shared" si="6"/>
        <v>258.61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8">
        <v>17.64</v>
      </c>
      <c r="E48" s="3"/>
      <c r="F48" s="7">
        <f t="shared" si="0"/>
        <v>1.9938157802380985E-4</v>
      </c>
      <c r="G48" s="3"/>
      <c r="H48" s="8"/>
      <c r="I48" s="3"/>
      <c r="J48" s="7">
        <f t="shared" si="1"/>
        <v>0</v>
      </c>
      <c r="K48" s="3"/>
      <c r="L48" s="8">
        <f t="shared" si="2"/>
        <v>17.64</v>
      </c>
      <c r="M48" s="3"/>
      <c r="N48" s="7">
        <f t="shared" si="3"/>
        <v>0</v>
      </c>
      <c r="O48" s="12"/>
      <c r="P48" s="8">
        <v>258.61</v>
      </c>
      <c r="Q48" s="3"/>
      <c r="R48" s="7">
        <f t="shared" si="4"/>
        <v>7.1326632897505667E-4</v>
      </c>
      <c r="S48" s="3"/>
      <c r="T48" s="8"/>
      <c r="U48" s="3"/>
      <c r="V48" s="7">
        <f t="shared" si="5"/>
        <v>0</v>
      </c>
      <c r="W48" s="3"/>
      <c r="X48" s="8">
        <f t="shared" si="6"/>
        <v>258.61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","Bad Debts/Over/Short                              ")</f>
        <v xml:space="preserve">     Bad Debts/Over/Short                              </v>
      </c>
      <c r="C49" s="14"/>
      <c r="D49" s="2">
        <f>SUM(OSRRefD22_3x_0)</f>
        <v>18.84</v>
      </c>
      <c r="E49" s="2"/>
      <c r="F49" s="6">
        <f t="shared" si="0"/>
        <v>2.1294495067849078E-4</v>
      </c>
      <c r="G49" s="2"/>
      <c r="H49" s="2">
        <f>SUM(OSRRefH22_3x_0)</f>
        <v>0</v>
      </c>
      <c r="I49" s="2"/>
      <c r="J49" s="6">
        <f t="shared" si="1"/>
        <v>0</v>
      </c>
      <c r="K49" s="2"/>
      <c r="L49" s="2">
        <f t="shared" si="2"/>
        <v>18.84</v>
      </c>
      <c r="M49" s="2"/>
      <c r="N49" s="6">
        <f t="shared" si="3"/>
        <v>0</v>
      </c>
      <c r="O49" s="14"/>
      <c r="P49" s="2">
        <f>SUM(OSRRefP22_3x_0)</f>
        <v>-64.37</v>
      </c>
      <c r="Q49" s="2"/>
      <c r="R49" s="6">
        <f t="shared" si="4"/>
        <v>-1.7753742545193301E-4</v>
      </c>
      <c r="S49" s="2"/>
      <c r="T49" s="2">
        <f>SUM(OSRRefT22_3x_0)</f>
        <v>0</v>
      </c>
      <c r="U49" s="2"/>
      <c r="V49" s="6">
        <f t="shared" si="5"/>
        <v>0</v>
      </c>
      <c r="W49" s="2"/>
      <c r="X49" s="2">
        <f t="shared" si="6"/>
        <v>-64.37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","6272"," - ","CASH (OVER/SHORT)")</f>
        <v xml:space="preserve">          6272 - CASH (OVER/SHORT)</v>
      </c>
      <c r="C50" s="12"/>
      <c r="D50" s="8">
        <v>18.84</v>
      </c>
      <c r="E50" s="3"/>
      <c r="F50" s="7">
        <f t="shared" si="0"/>
        <v>2.1294495067849078E-4</v>
      </c>
      <c r="G50" s="3"/>
      <c r="H50" s="8"/>
      <c r="I50" s="3"/>
      <c r="J50" s="7">
        <f t="shared" si="1"/>
        <v>0</v>
      </c>
      <c r="K50" s="3"/>
      <c r="L50" s="8">
        <f t="shared" si="2"/>
        <v>18.84</v>
      </c>
      <c r="M50" s="3"/>
      <c r="N50" s="7">
        <f t="shared" si="3"/>
        <v>0</v>
      </c>
      <c r="O50" s="12"/>
      <c r="P50" s="8">
        <v>-64.37</v>
      </c>
      <c r="Q50" s="3"/>
      <c r="R50" s="7">
        <f t="shared" si="4"/>
        <v>-1.7753742545193301E-4</v>
      </c>
      <c r="S50" s="3"/>
      <c r="T50" s="8"/>
      <c r="U50" s="3"/>
      <c r="V50" s="7">
        <f t="shared" si="5"/>
        <v>0</v>
      </c>
      <c r="W50" s="3"/>
      <c r="X50" s="8">
        <f t="shared" si="6"/>
        <v>-64.37</v>
      </c>
      <c r="Y50" s="3"/>
      <c r="Z50" s="7">
        <f t="shared" si="7"/>
        <v>0</v>
      </c>
    </row>
    <row r="51" spans="1:26" s="69" customFormat="1" ht="15" customHeight="1" outlineLevel="1" collapsed="1" x14ac:dyDescent="0.3">
      <c r="A51" s="25"/>
      <c r="B51" s="14" t="str">
        <f>CONCATENATE("     ","Bank/card Fees                                    ")</f>
        <v xml:space="preserve">     Bank/card Fees                                    </v>
      </c>
      <c r="C51" s="14"/>
      <c r="D51" s="2">
        <f>SUM(OSRRefD22_4x_0)</f>
        <v>2972.16</v>
      </c>
      <c r="E51" s="2"/>
      <c r="F51" s="6">
        <f t="shared" si="0"/>
        <v>3.3593761391113752E-2</v>
      </c>
      <c r="G51" s="2"/>
      <c r="H51" s="2">
        <f>SUM(OSRRefH22_4x_0)</f>
        <v>3345</v>
      </c>
      <c r="I51" s="2"/>
      <c r="J51" s="6">
        <f t="shared" si="1"/>
        <v>3.8204993489732053E-2</v>
      </c>
      <c r="K51" s="2"/>
      <c r="L51" s="2">
        <f t="shared" si="2"/>
        <v>-372.84000000000015</v>
      </c>
      <c r="M51" s="2"/>
      <c r="N51" s="6">
        <f t="shared" si="3"/>
        <v>-0.1114618834080718</v>
      </c>
      <c r="O51" s="14"/>
      <c r="P51" s="2">
        <f>SUM(OSRRefP22_4x_0)</f>
        <v>12868.51</v>
      </c>
      <c r="Q51" s="2"/>
      <c r="R51" s="6">
        <f t="shared" si="4"/>
        <v>3.5492343246892252E-2</v>
      </c>
      <c r="S51" s="2"/>
      <c r="T51" s="2">
        <f>SUM(OSRRefT22_4x_0)</f>
        <v>9752</v>
      </c>
      <c r="U51" s="2"/>
      <c r="V51" s="6">
        <f t="shared" si="5"/>
        <v>3.8200592281537424E-2</v>
      </c>
      <c r="W51" s="2"/>
      <c r="X51" s="2">
        <f t="shared" si="6"/>
        <v>3116.51</v>
      </c>
      <c r="Y51" s="2"/>
      <c r="Z51" s="6">
        <f t="shared" si="7"/>
        <v>0.3195764971287941</v>
      </c>
    </row>
    <row r="52" spans="1:26" s="70" customFormat="1" ht="15" hidden="1" customHeight="1" outlineLevel="2" x14ac:dyDescent="0.3">
      <c r="A52" s="26"/>
      <c r="B52" s="12" t="str">
        <f>CONCATENATE("          ","6381"," - ","BANK/CREDIT CARD FEES")</f>
        <v xml:space="preserve">          6381 - BANK/CREDIT CARD FEES</v>
      </c>
      <c r="C52" s="12"/>
      <c r="D52" s="8">
        <v>2972.16</v>
      </c>
      <c r="E52" s="3"/>
      <c r="F52" s="7">
        <f t="shared" si="0"/>
        <v>3.3593761391113752E-2</v>
      </c>
      <c r="G52" s="3"/>
      <c r="H52" s="8">
        <v>3345</v>
      </c>
      <c r="I52" s="3"/>
      <c r="J52" s="7">
        <f t="shared" si="1"/>
        <v>3.8204993489732053E-2</v>
      </c>
      <c r="K52" s="3"/>
      <c r="L52" s="8">
        <f t="shared" si="2"/>
        <v>-372.84000000000015</v>
      </c>
      <c r="M52" s="3"/>
      <c r="N52" s="7">
        <f t="shared" si="3"/>
        <v>-0.1114618834080718</v>
      </c>
      <c r="O52" s="12"/>
      <c r="P52" s="8">
        <v>12868.51</v>
      </c>
      <c r="Q52" s="3"/>
      <c r="R52" s="7">
        <f t="shared" si="4"/>
        <v>3.5492343246892252E-2</v>
      </c>
      <c r="S52" s="3"/>
      <c r="T52" s="8">
        <v>9752</v>
      </c>
      <c r="U52" s="3"/>
      <c r="V52" s="7">
        <f t="shared" si="5"/>
        <v>3.8200592281537424E-2</v>
      </c>
      <c r="W52" s="3"/>
      <c r="X52" s="8">
        <f t="shared" si="6"/>
        <v>3116.51</v>
      </c>
      <c r="Y52" s="3"/>
      <c r="Z52" s="7">
        <f t="shared" si="7"/>
        <v>0.3195764971287941</v>
      </c>
    </row>
    <row r="53" spans="1:26" s="69" customFormat="1" ht="15" customHeight="1" outlineLevel="1" collapsed="1" x14ac:dyDescent="0.3">
      <c r="A53" s="25"/>
      <c r="B53" s="14" t="str">
        <f>CONCATENATE("     ","Depreciation                                      ")</f>
        <v xml:space="preserve">     Depreciation                                      </v>
      </c>
      <c r="C53" s="14"/>
      <c r="D53" s="2">
        <f>SUM(OSRRefD22_5x_0)</f>
        <v>4626.5</v>
      </c>
      <c r="E53" s="2"/>
      <c r="F53" s="6">
        <f t="shared" si="0"/>
        <v>5.229245298906781E-2</v>
      </c>
      <c r="G53" s="2"/>
      <c r="H53" s="2">
        <f>SUM(OSRRefH22_5x_0)</f>
        <v>4733</v>
      </c>
      <c r="I53" s="2"/>
      <c r="J53" s="6">
        <f t="shared" si="1"/>
        <v>5.4058067021495307E-2</v>
      </c>
      <c r="K53" s="2"/>
      <c r="L53" s="2">
        <f t="shared" si="2"/>
        <v>-106.5</v>
      </c>
      <c r="M53" s="2"/>
      <c r="N53" s="6">
        <f t="shared" si="3"/>
        <v>-2.2501584618635113E-2</v>
      </c>
      <c r="O53" s="14"/>
      <c r="P53" s="2">
        <f>SUM(OSRRefP22_5x_0)</f>
        <v>37012</v>
      </c>
      <c r="Q53" s="2"/>
      <c r="R53" s="6">
        <f t="shared" si="4"/>
        <v>0.10208195107700706</v>
      </c>
      <c r="S53" s="2"/>
      <c r="T53" s="2">
        <f>SUM(OSRRefT22_5x_0)</f>
        <v>37864</v>
      </c>
      <c r="U53" s="2"/>
      <c r="V53" s="6">
        <f t="shared" si="5"/>
        <v>0.14832108553610882</v>
      </c>
      <c r="W53" s="2"/>
      <c r="X53" s="2">
        <f t="shared" si="6"/>
        <v>-852</v>
      </c>
      <c r="Y53" s="2"/>
      <c r="Z53" s="6">
        <f t="shared" si="7"/>
        <v>-2.2501584618635113E-2</v>
      </c>
    </row>
    <row r="54" spans="1:26" s="70" customFormat="1" ht="15" hidden="1" customHeight="1" outlineLevel="2" x14ac:dyDescent="0.3">
      <c r="A54" s="26"/>
      <c r="B54" s="12" t="str">
        <f>CONCATENATE("          ","6321"," - ","BUILDING DEPRECIATION")</f>
        <v xml:space="preserve">          6321 - BUILDING DEPRECIATION</v>
      </c>
      <c r="C54" s="12"/>
      <c r="D54" s="8">
        <v>4626.5</v>
      </c>
      <c r="E54" s="3"/>
      <c r="F54" s="7">
        <f t="shared" si="0"/>
        <v>5.229245298906781E-2</v>
      </c>
      <c r="G54" s="3"/>
      <c r="H54" s="8"/>
      <c r="I54" s="3"/>
      <c r="J54" s="7">
        <f t="shared" si="1"/>
        <v>0</v>
      </c>
      <c r="K54" s="3"/>
      <c r="L54" s="8">
        <f t="shared" si="2"/>
        <v>4626.5</v>
      </c>
      <c r="M54" s="3"/>
      <c r="N54" s="7">
        <f t="shared" si="3"/>
        <v>0</v>
      </c>
      <c r="O54" s="12"/>
      <c r="P54" s="8">
        <v>37012</v>
      </c>
      <c r="Q54" s="3"/>
      <c r="R54" s="7">
        <f t="shared" si="4"/>
        <v>0.10208195107700706</v>
      </c>
      <c r="S54" s="3"/>
      <c r="T54" s="8"/>
      <c r="U54" s="3"/>
      <c r="V54" s="7">
        <f t="shared" si="5"/>
        <v>0</v>
      </c>
      <c r="W54" s="3"/>
      <c r="X54" s="8">
        <f t="shared" si="6"/>
        <v>37012</v>
      </c>
      <c r="Y54" s="3"/>
      <c r="Z54" s="7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8"/>
      <c r="E55" s="3"/>
      <c r="F55" s="7">
        <f t="shared" si="0"/>
        <v>0</v>
      </c>
      <c r="G55" s="3"/>
      <c r="H55" s="8">
        <v>4733</v>
      </c>
      <c r="I55" s="3"/>
      <c r="J55" s="7">
        <f t="shared" si="1"/>
        <v>5.4058067021495307E-2</v>
      </c>
      <c r="K55" s="3"/>
      <c r="L55" s="8">
        <f t="shared" si="2"/>
        <v>-4733</v>
      </c>
      <c r="M55" s="3"/>
      <c r="N55" s="7">
        <f t="shared" si="3"/>
        <v>-1</v>
      </c>
      <c r="O55" s="12"/>
      <c r="P55" s="8"/>
      <c r="Q55" s="3"/>
      <c r="R55" s="7">
        <f t="shared" si="4"/>
        <v>0</v>
      </c>
      <c r="S55" s="3"/>
      <c r="T55" s="8">
        <v>37864</v>
      </c>
      <c r="U55" s="3"/>
      <c r="V55" s="7">
        <f t="shared" si="5"/>
        <v>0.14832108553610882</v>
      </c>
      <c r="W55" s="3"/>
      <c r="X55" s="8">
        <f t="shared" si="6"/>
        <v>-37864</v>
      </c>
      <c r="Y55" s="3"/>
      <c r="Z55" s="7">
        <f t="shared" si="7"/>
        <v>-1</v>
      </c>
    </row>
    <row r="56" spans="1:26" s="69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SUM(OSRRefP22_6x_0)</f>
        <v>246.92</v>
      </c>
      <c r="Q56" s="2"/>
      <c r="R56" s="6">
        <f t="shared" si="4"/>
        <v>6.8102440721751277E-4</v>
      </c>
      <c r="S56" s="2"/>
      <c r="T56" s="2">
        <f>SUM(OSRRefT22_6x_0)</f>
        <v>100</v>
      </c>
      <c r="U56" s="2"/>
      <c r="V56" s="6">
        <f t="shared" si="5"/>
        <v>3.9172059353504335E-4</v>
      </c>
      <c r="W56" s="2"/>
      <c r="X56" s="2">
        <f t="shared" si="6"/>
        <v>146.91999999999999</v>
      </c>
      <c r="Y56" s="2"/>
      <c r="Z56" s="6">
        <f t="shared" si="7"/>
        <v>1.4691999999999998</v>
      </c>
    </row>
    <row r="57" spans="1:26" s="70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8"/>
      <c r="E57" s="3"/>
      <c r="F57" s="7">
        <f t="shared" ref="F57:F88" si="8">IF(D$12=0,0,D57/D$12)</f>
        <v>0</v>
      </c>
      <c r="G57" s="3"/>
      <c r="H57" s="8"/>
      <c r="I57" s="3"/>
      <c r="J57" s="7">
        <f t="shared" ref="J57:J88" si="9">IF(H$12=0,0,H57/H$12)</f>
        <v>0</v>
      </c>
      <c r="K57" s="3"/>
      <c r="L57" s="8">
        <f t="shared" ref="L57:L88" si="10">+D57-H57</f>
        <v>0</v>
      </c>
      <c r="M57" s="3"/>
      <c r="N57" s="7">
        <f t="shared" ref="N57:N88" si="11">IF(H57=0,0,L57/H57)</f>
        <v>0</v>
      </c>
      <c r="O57" s="12"/>
      <c r="P57" s="8">
        <v>246.92</v>
      </c>
      <c r="Q57" s="3"/>
      <c r="R57" s="7">
        <f t="shared" ref="R57:R88" si="12">IF(P$12=0,0,P57/P$12)</f>
        <v>6.8102440721751277E-4</v>
      </c>
      <c r="S57" s="3"/>
      <c r="T57" s="8">
        <v>100</v>
      </c>
      <c r="U57" s="3"/>
      <c r="V57" s="7">
        <f t="shared" ref="V57:V88" si="13">IF(T$12=0,0,T57/T$12)</f>
        <v>3.9172059353504335E-4</v>
      </c>
      <c r="W57" s="3"/>
      <c r="X57" s="8">
        <f t="shared" ref="X57:X88" si="14">+P57-T57</f>
        <v>146.91999999999999</v>
      </c>
      <c r="Y57" s="3"/>
      <c r="Z57" s="7">
        <f t="shared" ref="Z57:Z88" si="15">IF(T57=0,0,X57/T57)</f>
        <v>1.4691999999999998</v>
      </c>
    </row>
    <row r="58" spans="1:26" s="69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SUM(OSRRefP22_7x_0)</f>
        <v>1893.3</v>
      </c>
      <c r="Q58" s="2"/>
      <c r="R58" s="6">
        <f t="shared" si="12"/>
        <v>5.221867447695273E-3</v>
      </c>
      <c r="S58" s="2"/>
      <c r="T58" s="2">
        <f>SUM(OSRRefT22_7x_0)</f>
        <v>500</v>
      </c>
      <c r="U58" s="2"/>
      <c r="V58" s="6">
        <f t="shared" si="13"/>
        <v>1.9586029676752167E-3</v>
      </c>
      <c r="W58" s="2"/>
      <c r="X58" s="2">
        <f t="shared" si="14"/>
        <v>1393.3</v>
      </c>
      <c r="Y58" s="2"/>
      <c r="Z58" s="6">
        <f t="shared" si="15"/>
        <v>2.7866</v>
      </c>
    </row>
    <row r="59" spans="1:26" s="70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1893.3</v>
      </c>
      <c r="Q59" s="3"/>
      <c r="R59" s="7">
        <f t="shared" si="12"/>
        <v>5.221867447695273E-3</v>
      </c>
      <c r="S59" s="3"/>
      <c r="T59" s="8">
        <v>500</v>
      </c>
      <c r="U59" s="3"/>
      <c r="V59" s="7">
        <f t="shared" si="13"/>
        <v>1.9586029676752167E-3</v>
      </c>
      <c r="W59" s="3"/>
      <c r="X59" s="8">
        <f t="shared" si="14"/>
        <v>1393.3</v>
      </c>
      <c r="Y59" s="3"/>
      <c r="Z59" s="7">
        <f t="shared" si="15"/>
        <v>2.7866</v>
      </c>
    </row>
    <row r="60" spans="1:26" s="69" customFormat="1" ht="15" customHeight="1" outlineLevel="1" collapsed="1" x14ac:dyDescent="0.3">
      <c r="A60" s="25"/>
      <c r="B60" s="14" t="str">
        <f>CONCATENATE("     ","Rent                                              ")</f>
        <v xml:space="preserve">     Rent                                              </v>
      </c>
      <c r="C60" s="14"/>
      <c r="D60" s="2">
        <f>SUM(OSRRefD22_8x_0)</f>
        <v>1850</v>
      </c>
      <c r="E60" s="2"/>
      <c r="F60" s="6">
        <f t="shared" si="8"/>
        <v>2.0910199509299784E-2</v>
      </c>
      <c r="G60" s="2"/>
      <c r="H60" s="2">
        <f>SUM(OSRRefH22_8x_0)</f>
        <v>1850</v>
      </c>
      <c r="I60" s="2"/>
      <c r="J60" s="6">
        <f t="shared" si="9"/>
        <v>2.1129817027206066E-2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SUM(OSRRefP22_8x_0)</f>
        <v>14800</v>
      </c>
      <c r="Q60" s="2"/>
      <c r="R60" s="6">
        <f t="shared" si="12"/>
        <v>4.0819541660534545E-2</v>
      </c>
      <c r="S60" s="2"/>
      <c r="T60" s="2">
        <f>SUM(OSRRefT22_8x_0)</f>
        <v>14800</v>
      </c>
      <c r="U60" s="2"/>
      <c r="V60" s="6">
        <f t="shared" si="13"/>
        <v>5.7974647843186414E-2</v>
      </c>
      <c r="W60" s="2"/>
      <c r="X60" s="2">
        <f t="shared" si="14"/>
        <v>0</v>
      </c>
      <c r="Y60" s="2"/>
      <c r="Z60" s="6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","6273"," - ","RENT")</f>
        <v xml:space="preserve">          6273 - RENT</v>
      </c>
      <c r="C61" s="12"/>
      <c r="D61" s="8">
        <v>1850</v>
      </c>
      <c r="E61" s="3"/>
      <c r="F61" s="7">
        <f t="shared" si="8"/>
        <v>2.0910199509299784E-2</v>
      </c>
      <c r="G61" s="3"/>
      <c r="H61" s="8">
        <v>1850</v>
      </c>
      <c r="I61" s="3"/>
      <c r="J61" s="7">
        <f t="shared" si="9"/>
        <v>2.1129817027206066E-2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14800</v>
      </c>
      <c r="Q61" s="3"/>
      <c r="R61" s="7">
        <f t="shared" si="12"/>
        <v>4.0819541660534545E-2</v>
      </c>
      <c r="S61" s="3"/>
      <c r="T61" s="8">
        <v>14800</v>
      </c>
      <c r="U61" s="3"/>
      <c r="V61" s="7">
        <f t="shared" si="13"/>
        <v>5.7974647843186414E-2</v>
      </c>
      <c r="W61" s="3"/>
      <c r="X61" s="8">
        <f t="shared" si="14"/>
        <v>0</v>
      </c>
      <c r="Y61" s="3"/>
      <c r="Z61" s="7">
        <f t="shared" si="15"/>
        <v>0</v>
      </c>
    </row>
    <row r="62" spans="1:26" s="69" customFormat="1" ht="15" customHeight="1" outlineLevel="1" collapsed="1" x14ac:dyDescent="0.3">
      <c r="A62" s="25"/>
      <c r="B62" s="14" t="str">
        <f>CONCATENATE("     ","Repair and Maintenance                            ")</f>
        <v xml:space="preserve">     Repair and Maintenance                            </v>
      </c>
      <c r="C62" s="14"/>
      <c r="D62" s="2">
        <f>SUM(OSRRefD22_9x_0)</f>
        <v>1713.78</v>
      </c>
      <c r="E62" s="2"/>
      <c r="F62" s="6">
        <f t="shared" si="8"/>
        <v>1.9370530656782587E-2</v>
      </c>
      <c r="G62" s="2"/>
      <c r="H62" s="2">
        <f>SUM(OSRRefH22_9x_0)</f>
        <v>500</v>
      </c>
      <c r="I62" s="2"/>
      <c r="J62" s="6">
        <f t="shared" si="9"/>
        <v>5.7107613587043422E-3</v>
      </c>
      <c r="K62" s="2"/>
      <c r="L62" s="2">
        <f t="shared" si="10"/>
        <v>1213.78</v>
      </c>
      <c r="M62" s="2"/>
      <c r="N62" s="6">
        <f t="shared" si="11"/>
        <v>2.4275600000000002</v>
      </c>
      <c r="O62" s="14"/>
      <c r="P62" s="2">
        <f>SUM(OSRRefP22_9x_0)</f>
        <v>5443.01</v>
      </c>
      <c r="Q62" s="2"/>
      <c r="R62" s="6">
        <f t="shared" si="12"/>
        <v>1.5012241449574738E-2</v>
      </c>
      <c r="S62" s="2"/>
      <c r="T62" s="2">
        <f>SUM(OSRRefT22_9x_0)</f>
        <v>4450</v>
      </c>
      <c r="U62" s="2"/>
      <c r="V62" s="6">
        <f t="shared" si="13"/>
        <v>1.7431566412309429E-2</v>
      </c>
      <c r="W62" s="2"/>
      <c r="X62" s="2">
        <f t="shared" si="14"/>
        <v>993.01000000000022</v>
      </c>
      <c r="Y62" s="2"/>
      <c r="Z62" s="6">
        <f t="shared" si="15"/>
        <v>0.22314831460674162</v>
      </c>
    </row>
    <row r="63" spans="1:26" s="70" customFormat="1" ht="15" hidden="1" customHeight="1" outlineLevel="2" x14ac:dyDescent="0.3">
      <c r="A63" s="26"/>
      <c r="B63" s="12" t="str">
        <f>CONCATENATE("          ","6373"," - ","MAINTENANCE CONTRACTS")</f>
        <v xml:space="preserve">          6373 - MAINTENANCE CONTRACTS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146.75</v>
      </c>
      <c r="Q63" s="3"/>
      <c r="R63" s="7">
        <f t="shared" si="12"/>
        <v>4.0474782018131377E-4</v>
      </c>
      <c r="S63" s="3"/>
      <c r="T63" s="8">
        <v>450</v>
      </c>
      <c r="U63" s="3"/>
      <c r="V63" s="7">
        <f t="shared" si="13"/>
        <v>1.7627426709076949E-3</v>
      </c>
      <c r="W63" s="3"/>
      <c r="X63" s="8">
        <f t="shared" si="14"/>
        <v>-303.25</v>
      </c>
      <c r="Y63" s="3"/>
      <c r="Z63" s="7">
        <f t="shared" si="15"/>
        <v>-0.67388888888888887</v>
      </c>
    </row>
    <row r="64" spans="1:26" s="70" customFormat="1" ht="15" hidden="1" customHeight="1" outlineLevel="2" x14ac:dyDescent="0.3">
      <c r="A64" s="26"/>
      <c r="B64" s="12" t="str">
        <f>CONCATENATE("          ","6375"," - ","OUTSIDE REPAIRS &amp; MAINTENANCE")</f>
        <v xml:space="preserve">          6375 - OUTSIDE REPAIRS &amp; MAINTENANCE</v>
      </c>
      <c r="C64" s="12"/>
      <c r="D64" s="8">
        <v>1713.78</v>
      </c>
      <c r="E64" s="3"/>
      <c r="F64" s="7">
        <f t="shared" si="8"/>
        <v>1.9370530656782587E-2</v>
      </c>
      <c r="G64" s="3"/>
      <c r="H64" s="8">
        <v>500</v>
      </c>
      <c r="I64" s="3"/>
      <c r="J64" s="7">
        <f t="shared" si="9"/>
        <v>5.7107613587043422E-3</v>
      </c>
      <c r="K64" s="3"/>
      <c r="L64" s="8">
        <f t="shared" si="10"/>
        <v>1213.78</v>
      </c>
      <c r="M64" s="3"/>
      <c r="N64" s="7">
        <f t="shared" si="11"/>
        <v>2.4275600000000002</v>
      </c>
      <c r="O64" s="12"/>
      <c r="P64" s="8">
        <v>5296.26</v>
      </c>
      <c r="Q64" s="3"/>
      <c r="R64" s="7">
        <f t="shared" si="12"/>
        <v>1.4607493629393424E-2</v>
      </c>
      <c r="S64" s="3"/>
      <c r="T64" s="8">
        <v>4000</v>
      </c>
      <c r="U64" s="3"/>
      <c r="V64" s="7">
        <f t="shared" si="13"/>
        <v>1.5668823741401734E-2</v>
      </c>
      <c r="W64" s="3"/>
      <c r="X64" s="8">
        <f t="shared" si="14"/>
        <v>1296.2600000000002</v>
      </c>
      <c r="Y64" s="3"/>
      <c r="Z64" s="7">
        <f t="shared" si="15"/>
        <v>0.32406500000000005</v>
      </c>
    </row>
    <row r="65" spans="1:26" s="69" customFormat="1" ht="15" customHeight="1" outlineLevel="1" collapsed="1" x14ac:dyDescent="0.3">
      <c r="A65" s="25"/>
      <c r="B65" s="14" t="str">
        <f>CONCATENATE("     ","Services                                          ")</f>
        <v xml:space="preserve">     Services                                          </v>
      </c>
      <c r="C65" s="14"/>
      <c r="D65" s="2">
        <f>SUM(OSRRefD22_10x_0)</f>
        <v>246.4</v>
      </c>
      <c r="E65" s="2"/>
      <c r="F65" s="6">
        <f t="shared" si="8"/>
        <v>2.7850125184278201E-3</v>
      </c>
      <c r="G65" s="2"/>
      <c r="H65" s="2">
        <f>SUM(OSRRefH22_10x_0)</f>
        <v>2273</v>
      </c>
      <c r="I65" s="2"/>
      <c r="J65" s="6">
        <f t="shared" si="9"/>
        <v>2.5961121136669939E-2</v>
      </c>
      <c r="K65" s="2"/>
      <c r="L65" s="2">
        <f t="shared" si="10"/>
        <v>-2026.6</v>
      </c>
      <c r="M65" s="2"/>
      <c r="N65" s="6">
        <f t="shared" si="11"/>
        <v>-0.89159700835899691</v>
      </c>
      <c r="O65" s="14"/>
      <c r="P65" s="2">
        <f>SUM(OSRRefP22_10x_0)</f>
        <v>5097.7</v>
      </c>
      <c r="Q65" s="2"/>
      <c r="R65" s="6">
        <f t="shared" si="12"/>
        <v>1.4059849832628847E-2</v>
      </c>
      <c r="S65" s="2"/>
      <c r="T65" s="2">
        <f>SUM(OSRRefT22_10x_0)</f>
        <v>15971</v>
      </c>
      <c r="U65" s="2"/>
      <c r="V65" s="6">
        <f t="shared" si="13"/>
        <v>6.256169599348177E-2</v>
      </c>
      <c r="W65" s="2"/>
      <c r="X65" s="2">
        <f t="shared" si="14"/>
        <v>-10873.3</v>
      </c>
      <c r="Y65" s="2"/>
      <c r="Z65" s="6">
        <f t="shared" si="15"/>
        <v>-0.680815227600025</v>
      </c>
    </row>
    <row r="66" spans="1:26" s="70" customFormat="1" ht="15" hidden="1" customHeight="1" outlineLevel="2" x14ac:dyDescent="0.3">
      <c r="A66" s="26"/>
      <c r="B66" s="12" t="str">
        <f>CONCATENATE("          ","6282"," - ","JANITORIAL/EXTERMINATOR EXPENS")</f>
        <v xml:space="preserve">          6282 - JANITORIAL/EXTERMINATOR EXPENS</v>
      </c>
      <c r="C66" s="12"/>
      <c r="D66" s="8">
        <v>190</v>
      </c>
      <c r="E66" s="3"/>
      <c r="F66" s="7">
        <f t="shared" si="8"/>
        <v>2.1475340036578158E-3</v>
      </c>
      <c r="G66" s="3"/>
      <c r="H66" s="8">
        <v>150</v>
      </c>
      <c r="I66" s="3"/>
      <c r="J66" s="7">
        <f t="shared" si="9"/>
        <v>1.7132284076113028E-3</v>
      </c>
      <c r="K66" s="3"/>
      <c r="L66" s="8">
        <f t="shared" si="10"/>
        <v>40</v>
      </c>
      <c r="M66" s="3"/>
      <c r="N66" s="7">
        <f t="shared" si="11"/>
        <v>0.26666666666666666</v>
      </c>
      <c r="O66" s="12"/>
      <c r="P66" s="8">
        <v>641.86</v>
      </c>
      <c r="Q66" s="3"/>
      <c r="R66" s="7">
        <f t="shared" si="12"/>
        <v>1.7702993925831556E-3</v>
      </c>
      <c r="S66" s="3"/>
      <c r="T66" s="8">
        <v>1100</v>
      </c>
      <c r="U66" s="3"/>
      <c r="V66" s="7">
        <f t="shared" si="13"/>
        <v>4.3089265288854765E-3</v>
      </c>
      <c r="W66" s="3"/>
      <c r="X66" s="8">
        <f t="shared" si="14"/>
        <v>-458.14</v>
      </c>
      <c r="Y66" s="3"/>
      <c r="Z66" s="7">
        <f t="shared" si="15"/>
        <v>-0.41649090909090908</v>
      </c>
    </row>
    <row r="67" spans="1:26" s="70" customFormat="1" ht="15" hidden="1" customHeight="1" outlineLevel="2" x14ac:dyDescent="0.3">
      <c r="A67" s="26"/>
      <c r="B67" s="12" t="str">
        <f>CONCATENATE("          ","6284"," - ","TRASH REMOVAL EXPENSE")</f>
        <v xml:space="preserve">          6284 - TRASH REMOVAL EXPENSE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/>
      <c r="Q67" s="3"/>
      <c r="R67" s="7">
        <f t="shared" si="12"/>
        <v>0</v>
      </c>
      <c r="S67" s="3"/>
      <c r="T67" s="8">
        <v>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","6285"," - ","JANITORIAL SERVICES")</f>
        <v xml:space="preserve">          6285 - JANITORIAL SERVICES</v>
      </c>
      <c r="C68" s="12"/>
      <c r="D68" s="8"/>
      <c r="E68" s="3"/>
      <c r="F68" s="7">
        <f t="shared" si="8"/>
        <v>0</v>
      </c>
      <c r="G68" s="3"/>
      <c r="H68" s="8">
        <v>2083</v>
      </c>
      <c r="I68" s="3"/>
      <c r="J68" s="7">
        <f t="shared" si="9"/>
        <v>2.3791031820362289E-2</v>
      </c>
      <c r="K68" s="3"/>
      <c r="L68" s="8">
        <f t="shared" si="10"/>
        <v>-2083</v>
      </c>
      <c r="M68" s="3"/>
      <c r="N68" s="7">
        <f t="shared" si="11"/>
        <v>-1</v>
      </c>
      <c r="O68" s="12"/>
      <c r="P68" s="8">
        <v>3660</v>
      </c>
      <c r="Q68" s="3"/>
      <c r="R68" s="7">
        <f t="shared" si="12"/>
        <v>1.0094562329564623E-2</v>
      </c>
      <c r="S68" s="3"/>
      <c r="T68" s="8">
        <v>14581</v>
      </c>
      <c r="U68" s="3"/>
      <c r="V68" s="7">
        <f t="shared" si="13"/>
        <v>5.711677974334467E-2</v>
      </c>
      <c r="W68" s="3"/>
      <c r="X68" s="8">
        <f t="shared" si="14"/>
        <v>-10921</v>
      </c>
      <c r="Y68" s="3"/>
      <c r="Z68" s="7">
        <f t="shared" si="15"/>
        <v>-0.74898840957410329</v>
      </c>
    </row>
    <row r="69" spans="1:26" s="70" customFormat="1" ht="15" hidden="1" customHeight="1" outlineLevel="2" x14ac:dyDescent="0.3">
      <c r="A69" s="26"/>
      <c r="B69" s="12" t="str">
        <f>CONCATENATE("          ","6286"," - ","LAUNDRY EXPENSE")</f>
        <v xml:space="preserve">          6286 - LAUNDRY EXPENSE</v>
      </c>
      <c r="C69" s="12"/>
      <c r="D69" s="8">
        <v>56.4</v>
      </c>
      <c r="E69" s="3"/>
      <c r="F69" s="7">
        <f t="shared" si="8"/>
        <v>6.3747851477000421E-4</v>
      </c>
      <c r="G69" s="3"/>
      <c r="H69" s="8">
        <v>40</v>
      </c>
      <c r="I69" s="3"/>
      <c r="J69" s="7">
        <f t="shared" si="9"/>
        <v>4.568609086963474E-4</v>
      </c>
      <c r="K69" s="3"/>
      <c r="L69" s="8">
        <f t="shared" si="10"/>
        <v>16.399999999999999</v>
      </c>
      <c r="M69" s="3"/>
      <c r="N69" s="7">
        <f t="shared" si="11"/>
        <v>0.41</v>
      </c>
      <c r="O69" s="12"/>
      <c r="P69" s="8">
        <v>795.84</v>
      </c>
      <c r="Q69" s="3"/>
      <c r="R69" s="7">
        <f t="shared" si="12"/>
        <v>2.1949881104810685E-3</v>
      </c>
      <c r="S69" s="3"/>
      <c r="T69" s="8">
        <v>290</v>
      </c>
      <c r="U69" s="3"/>
      <c r="V69" s="7">
        <f t="shared" si="13"/>
        <v>1.1359897212516257E-3</v>
      </c>
      <c r="W69" s="3"/>
      <c r="X69" s="8">
        <f t="shared" si="14"/>
        <v>505.84000000000003</v>
      </c>
      <c r="Y69" s="3"/>
      <c r="Z69" s="7">
        <f t="shared" si="15"/>
        <v>1.7442758620689656</v>
      </c>
    </row>
    <row r="70" spans="1:26" s="69" customFormat="1" ht="15" customHeight="1" outlineLevel="1" collapsed="1" x14ac:dyDescent="0.3">
      <c r="A70" s="2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SUM(OSRRefD22_11x_0)</f>
        <v>17.95</v>
      </c>
      <c r="E70" s="2"/>
      <c r="F70" s="6">
        <f t="shared" si="8"/>
        <v>2.0288544929293573E-4</v>
      </c>
      <c r="G70" s="2"/>
      <c r="H70" s="2">
        <f>SUM(OSRRefH22_11x_0)</f>
        <v>30</v>
      </c>
      <c r="I70" s="2"/>
      <c r="J70" s="6">
        <f t="shared" si="9"/>
        <v>3.4264568152226054E-4</v>
      </c>
      <c r="K70" s="2"/>
      <c r="L70" s="2">
        <f t="shared" si="10"/>
        <v>-12.05</v>
      </c>
      <c r="M70" s="2"/>
      <c r="N70" s="6">
        <f t="shared" si="11"/>
        <v>-0.40166666666666667</v>
      </c>
      <c r="O70" s="14"/>
      <c r="P70" s="2">
        <f>SUM(OSRRefP22_11x_0)</f>
        <v>271.79000000000002</v>
      </c>
      <c r="Q70" s="2"/>
      <c r="R70" s="6">
        <f t="shared" si="12"/>
        <v>7.4961778567004622E-4</v>
      </c>
      <c r="S70" s="2"/>
      <c r="T70" s="2">
        <f>SUM(OSRRefT22_11x_0)</f>
        <v>210</v>
      </c>
      <c r="U70" s="2"/>
      <c r="V70" s="6">
        <f t="shared" si="13"/>
        <v>8.2261324642359098E-4</v>
      </c>
      <c r="W70" s="2"/>
      <c r="X70" s="2">
        <f t="shared" si="14"/>
        <v>61.79000000000002</v>
      </c>
      <c r="Y70" s="2"/>
      <c r="Z70" s="6">
        <f t="shared" si="15"/>
        <v>0.29423809523809535</v>
      </c>
    </row>
    <row r="71" spans="1:26" s="70" customFormat="1" ht="15" hidden="1" customHeight="1" outlineLevel="2" x14ac:dyDescent="0.3">
      <c r="A71" s="26"/>
      <c r="B71" s="12" t="str">
        <f>CONCATENATE("          ","6275"," - ","SUBSCRIPTIONS")</f>
        <v xml:space="preserve">          6275 - SUBSCRIPTIONS</v>
      </c>
      <c r="C71" s="12"/>
      <c r="D71" s="8">
        <v>17.95</v>
      </c>
      <c r="E71" s="3"/>
      <c r="F71" s="7">
        <f t="shared" si="8"/>
        <v>2.0288544929293573E-4</v>
      </c>
      <c r="G71" s="3"/>
      <c r="H71" s="8">
        <v>30</v>
      </c>
      <c r="I71" s="3"/>
      <c r="J71" s="7">
        <f t="shared" si="9"/>
        <v>3.4264568152226054E-4</v>
      </c>
      <c r="K71" s="3"/>
      <c r="L71" s="8">
        <f t="shared" si="10"/>
        <v>-12.05</v>
      </c>
      <c r="M71" s="3"/>
      <c r="N71" s="7">
        <f t="shared" si="11"/>
        <v>-0.40166666666666667</v>
      </c>
      <c r="O71" s="12"/>
      <c r="P71" s="8">
        <v>271.79000000000002</v>
      </c>
      <c r="Q71" s="3"/>
      <c r="R71" s="7">
        <f t="shared" si="12"/>
        <v>7.4961778567004622E-4</v>
      </c>
      <c r="S71" s="3"/>
      <c r="T71" s="8">
        <v>210</v>
      </c>
      <c r="U71" s="3"/>
      <c r="V71" s="7">
        <f t="shared" si="13"/>
        <v>8.2261324642359098E-4</v>
      </c>
      <c r="W71" s="3"/>
      <c r="X71" s="8">
        <f t="shared" si="14"/>
        <v>61.79000000000002</v>
      </c>
      <c r="Y71" s="3"/>
      <c r="Z71" s="7">
        <f t="shared" si="15"/>
        <v>0.29423809523809535</v>
      </c>
    </row>
    <row r="72" spans="1:26" s="69" customFormat="1" ht="15" customHeight="1" outlineLevel="1" collapsed="1" x14ac:dyDescent="0.3">
      <c r="A72" s="25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SUM(OSRRefD22_12x_0)</f>
        <v>3065.6499999999996</v>
      </c>
      <c r="E72" s="2"/>
      <c r="F72" s="6">
        <f t="shared" si="8"/>
        <v>3.4650461149018853E-2</v>
      </c>
      <c r="G72" s="2"/>
      <c r="H72" s="2">
        <f>SUM(OSRRefH22_12x_0)</f>
        <v>475</v>
      </c>
      <c r="I72" s="2"/>
      <c r="J72" s="6">
        <f t="shared" si="9"/>
        <v>5.4252232907691256E-3</v>
      </c>
      <c r="K72" s="2"/>
      <c r="L72" s="2">
        <f t="shared" si="10"/>
        <v>2590.6499999999996</v>
      </c>
      <c r="M72" s="2"/>
      <c r="N72" s="6">
        <f t="shared" si="11"/>
        <v>5.4539999999999988</v>
      </c>
      <c r="O72" s="14"/>
      <c r="P72" s="2">
        <f>SUM(OSRRefP22_12x_0)</f>
        <v>9614.26</v>
      </c>
      <c r="Q72" s="2"/>
      <c r="R72" s="6">
        <f t="shared" si="12"/>
        <v>2.6516870716568299E-2</v>
      </c>
      <c r="S72" s="2"/>
      <c r="T72" s="2">
        <f>SUM(OSRRefT22_12x_0)</f>
        <v>6325</v>
      </c>
      <c r="U72" s="2"/>
      <c r="V72" s="6">
        <f t="shared" si="13"/>
        <v>2.4776327541091492E-2</v>
      </c>
      <c r="W72" s="2"/>
      <c r="X72" s="2">
        <f t="shared" si="14"/>
        <v>3289.26</v>
      </c>
      <c r="Y72" s="2"/>
      <c r="Z72" s="6">
        <f t="shared" si="15"/>
        <v>0.52004110671936765</v>
      </c>
    </row>
    <row r="73" spans="1:26" s="70" customFormat="1" ht="15" hidden="1" customHeight="1" outlineLevel="2" x14ac:dyDescent="0.3">
      <c r="A73" s="26"/>
      <c r="B73" s="12" t="str">
        <f>CONCATENATE("          ","6235"," - ","COVID-19 EXPENSES")</f>
        <v xml:space="preserve">          6235 - COVID-19 EXPENSES</v>
      </c>
      <c r="C73" s="12"/>
      <c r="D73" s="8"/>
      <c r="E73" s="3"/>
      <c r="F73" s="7">
        <f t="shared" si="8"/>
        <v>0</v>
      </c>
      <c r="G73" s="3"/>
      <c r="H73" s="8">
        <v>75</v>
      </c>
      <c r="I73" s="3"/>
      <c r="J73" s="7">
        <f t="shared" si="9"/>
        <v>8.566142038056514E-4</v>
      </c>
      <c r="K73" s="3"/>
      <c r="L73" s="8">
        <f t="shared" si="10"/>
        <v>-75</v>
      </c>
      <c r="M73" s="3"/>
      <c r="N73" s="7">
        <f t="shared" si="11"/>
        <v>-1</v>
      </c>
      <c r="O73" s="12"/>
      <c r="P73" s="8">
        <v>193.5</v>
      </c>
      <c r="Q73" s="3"/>
      <c r="R73" s="7">
        <f t="shared" si="12"/>
        <v>5.3368792644009687E-4</v>
      </c>
      <c r="S73" s="3"/>
      <c r="T73" s="8">
        <v>775</v>
      </c>
      <c r="U73" s="3"/>
      <c r="V73" s="7">
        <f t="shared" si="13"/>
        <v>3.0358345998965858E-3</v>
      </c>
      <c r="W73" s="3"/>
      <c r="X73" s="8">
        <f t="shared" si="14"/>
        <v>-581.5</v>
      </c>
      <c r="Y73" s="3"/>
      <c r="Z73" s="7">
        <f t="shared" si="15"/>
        <v>-0.75032258064516133</v>
      </c>
    </row>
    <row r="74" spans="1:26" s="70" customFormat="1" ht="15" hidden="1" customHeight="1" outlineLevel="2" x14ac:dyDescent="0.3">
      <c r="A74" s="26"/>
      <c r="B74" s="12" t="str">
        <f>CONCATENATE("          ","6237"," - ","JANITORIAL SUPPLIES")</f>
        <v xml:space="preserve">          6237 - JANITORIAL SUPPLIES</v>
      </c>
      <c r="C74" s="12"/>
      <c r="D74" s="8"/>
      <c r="E74" s="3"/>
      <c r="F74" s="7">
        <f t="shared" si="8"/>
        <v>0</v>
      </c>
      <c r="G74" s="3"/>
      <c r="H74" s="8">
        <v>150</v>
      </c>
      <c r="I74" s="3"/>
      <c r="J74" s="7">
        <f t="shared" si="9"/>
        <v>1.7132284076113028E-3</v>
      </c>
      <c r="K74" s="3"/>
      <c r="L74" s="8">
        <f t="shared" si="10"/>
        <v>-150</v>
      </c>
      <c r="M74" s="3"/>
      <c r="N74" s="7">
        <f t="shared" si="11"/>
        <v>-1</v>
      </c>
      <c r="O74" s="12"/>
      <c r="P74" s="8">
        <v>48.12</v>
      </c>
      <c r="Q74" s="3"/>
      <c r="R74" s="7">
        <f t="shared" si="12"/>
        <v>1.3271867193952175E-4</v>
      </c>
      <c r="S74" s="3"/>
      <c r="T74" s="8">
        <v>1000</v>
      </c>
      <c r="U74" s="3"/>
      <c r="V74" s="7">
        <f t="shared" si="13"/>
        <v>3.9172059353504334E-3</v>
      </c>
      <c r="W74" s="3"/>
      <c r="X74" s="8">
        <f t="shared" si="14"/>
        <v>-951.88</v>
      </c>
      <c r="Y74" s="3"/>
      <c r="Z74" s="7">
        <f t="shared" si="15"/>
        <v>-0.95187999999999995</v>
      </c>
    </row>
    <row r="75" spans="1:26" s="70" customFormat="1" ht="15" hidden="1" customHeight="1" outlineLevel="2" x14ac:dyDescent="0.3">
      <c r="A75" s="26"/>
      <c r="B75" s="12" t="str">
        <f>CONCATENATE("          ","6239"," - ","KITCHEN SUPPLIES")</f>
        <v xml:space="preserve">          6239 - KITCHEN SUPPLIES</v>
      </c>
      <c r="C75" s="12"/>
      <c r="D75" s="8">
        <v>929.14</v>
      </c>
      <c r="E75" s="3"/>
      <c r="F75" s="7">
        <f t="shared" si="8"/>
        <v>1.0501893390308541E-2</v>
      </c>
      <c r="G75" s="3"/>
      <c r="H75" s="8"/>
      <c r="I75" s="3"/>
      <c r="J75" s="7">
        <f t="shared" si="9"/>
        <v>0</v>
      </c>
      <c r="K75" s="3"/>
      <c r="L75" s="8">
        <f t="shared" si="10"/>
        <v>929.14</v>
      </c>
      <c r="M75" s="3"/>
      <c r="N75" s="7">
        <f t="shared" si="11"/>
        <v>0</v>
      </c>
      <c r="O75" s="12"/>
      <c r="P75" s="8">
        <v>2874.78</v>
      </c>
      <c r="Q75" s="3"/>
      <c r="R75" s="7">
        <f t="shared" si="12"/>
        <v>7.9288649983021275E-3</v>
      </c>
      <c r="S75" s="3"/>
      <c r="T75" s="8">
        <v>200</v>
      </c>
      <c r="U75" s="3"/>
      <c r="V75" s="7">
        <f t="shared" si="13"/>
        <v>7.834411870700867E-4</v>
      </c>
      <c r="W75" s="3"/>
      <c r="X75" s="8">
        <f t="shared" si="14"/>
        <v>2674.78</v>
      </c>
      <c r="Y75" s="3"/>
      <c r="Z75" s="7">
        <f t="shared" si="15"/>
        <v>13.373900000000001</v>
      </c>
    </row>
    <row r="76" spans="1:26" s="70" customFormat="1" ht="15" hidden="1" customHeight="1" outlineLevel="2" x14ac:dyDescent="0.3">
      <c r="A76" s="26"/>
      <c r="B76" s="12" t="str">
        <f>CONCATENATE("          ","6241"," - ","OFFICE EXPENSE")</f>
        <v xml:space="preserve">          6241 - OFFICE EXPENSE</v>
      </c>
      <c r="C76" s="12"/>
      <c r="D76" s="8">
        <v>258.93</v>
      </c>
      <c r="E76" s="3"/>
      <c r="F76" s="7">
        <f t="shared" si="8"/>
        <v>2.9266367345637803E-3</v>
      </c>
      <c r="G76" s="3"/>
      <c r="H76" s="8"/>
      <c r="I76" s="3"/>
      <c r="J76" s="7">
        <f t="shared" si="9"/>
        <v>0</v>
      </c>
      <c r="K76" s="3"/>
      <c r="L76" s="8">
        <f t="shared" si="10"/>
        <v>258.93</v>
      </c>
      <c r="M76" s="3"/>
      <c r="N76" s="7">
        <f t="shared" si="11"/>
        <v>0</v>
      </c>
      <c r="O76" s="12"/>
      <c r="P76" s="8">
        <v>2077.84</v>
      </c>
      <c r="Q76" s="3"/>
      <c r="R76" s="7">
        <f t="shared" si="12"/>
        <v>5.7308430029679117E-3</v>
      </c>
      <c r="S76" s="3"/>
      <c r="T76" s="8">
        <v>150</v>
      </c>
      <c r="U76" s="3"/>
      <c r="V76" s="7">
        <f t="shared" si="13"/>
        <v>5.8758089030256494E-4</v>
      </c>
      <c r="W76" s="3"/>
      <c r="X76" s="8">
        <f t="shared" si="14"/>
        <v>1927.8400000000001</v>
      </c>
      <c r="Y76" s="3"/>
      <c r="Z76" s="7">
        <f t="shared" si="15"/>
        <v>12.852266666666667</v>
      </c>
    </row>
    <row r="77" spans="1:26" s="70" customFormat="1" ht="15" hidden="1" customHeight="1" outlineLevel="2" x14ac:dyDescent="0.3">
      <c r="A77" s="26"/>
      <c r="B77" s="12" t="str">
        <f>CONCATENATE("          ","6243"," - ","PAPER SUPPLIES")</f>
        <v xml:space="preserve">          6243 - PAPER SUPPLIES</v>
      </c>
      <c r="C77" s="12"/>
      <c r="D77" s="8"/>
      <c r="E77" s="3"/>
      <c r="F77" s="7">
        <f t="shared" si="8"/>
        <v>0</v>
      </c>
      <c r="G77" s="3"/>
      <c r="H77" s="8">
        <v>200</v>
      </c>
      <c r="I77" s="3"/>
      <c r="J77" s="7">
        <f t="shared" si="9"/>
        <v>2.2843045434817371E-3</v>
      </c>
      <c r="K77" s="3"/>
      <c r="L77" s="8">
        <f t="shared" si="10"/>
        <v>-200</v>
      </c>
      <c r="M77" s="3"/>
      <c r="N77" s="7">
        <f t="shared" si="11"/>
        <v>-1</v>
      </c>
      <c r="O77" s="12"/>
      <c r="P77" s="8">
        <v>511.58</v>
      </c>
      <c r="Q77" s="3"/>
      <c r="R77" s="7">
        <f t="shared" si="12"/>
        <v>1.4109771028848824E-3</v>
      </c>
      <c r="S77" s="3"/>
      <c r="T77" s="8">
        <v>2100</v>
      </c>
      <c r="U77" s="3"/>
      <c r="V77" s="7">
        <f t="shared" si="13"/>
        <v>8.226132464235909E-3</v>
      </c>
      <c r="W77" s="3"/>
      <c r="X77" s="8">
        <f t="shared" si="14"/>
        <v>-1588.42</v>
      </c>
      <c r="Y77" s="3"/>
      <c r="Z77" s="7">
        <f t="shared" si="15"/>
        <v>-0.75639047619047628</v>
      </c>
    </row>
    <row r="78" spans="1:26" s="70" customFormat="1" ht="15" hidden="1" customHeight="1" outlineLevel="2" x14ac:dyDescent="0.3">
      <c r="A78" s="26"/>
      <c r="B78" s="12" t="str">
        <f>CONCATENATE("          ","6245"," - ","PRINTING")</f>
        <v xml:space="preserve">          6245 - PRINTING</v>
      </c>
      <c r="C78" s="12"/>
      <c r="D78" s="8"/>
      <c r="E78" s="3"/>
      <c r="F78" s="7">
        <f t="shared" si="8"/>
        <v>0</v>
      </c>
      <c r="G78" s="3"/>
      <c r="H78" s="8">
        <v>50</v>
      </c>
      <c r="I78" s="3"/>
      <c r="J78" s="7">
        <f t="shared" si="9"/>
        <v>5.7107613587043427E-4</v>
      </c>
      <c r="K78" s="3"/>
      <c r="L78" s="8">
        <f t="shared" si="10"/>
        <v>-50</v>
      </c>
      <c r="M78" s="3"/>
      <c r="N78" s="7">
        <f t="shared" si="11"/>
        <v>-1</v>
      </c>
      <c r="O78" s="12"/>
      <c r="P78" s="8">
        <v>733</v>
      </c>
      <c r="Q78" s="3"/>
      <c r="R78" s="7">
        <f t="shared" si="12"/>
        <v>2.0216705430521498E-3</v>
      </c>
      <c r="S78" s="3"/>
      <c r="T78" s="8">
        <v>800</v>
      </c>
      <c r="U78" s="3"/>
      <c r="V78" s="7">
        <f t="shared" si="13"/>
        <v>3.1337647482803468E-3</v>
      </c>
      <c r="W78" s="3"/>
      <c r="X78" s="8">
        <f t="shared" si="14"/>
        <v>-67</v>
      </c>
      <c r="Y78" s="3"/>
      <c r="Z78" s="7">
        <f t="shared" si="15"/>
        <v>-8.3750000000000005E-2</v>
      </c>
    </row>
    <row r="79" spans="1:26" s="70" customFormat="1" ht="15" hidden="1" customHeight="1" outlineLevel="2" x14ac:dyDescent="0.3">
      <c r="A79" s="26"/>
      <c r="B79" s="12" t="str">
        <f>CONCATENATE("          ","6247"," - ","STORE SUPPLIES")</f>
        <v xml:space="preserve">          6247 - STORE SUPPLIES</v>
      </c>
      <c r="C79" s="12"/>
      <c r="D79" s="8">
        <v>355.33</v>
      </c>
      <c r="E79" s="3"/>
      <c r="F79" s="7">
        <f t="shared" si="8"/>
        <v>4.0162276711564826E-3</v>
      </c>
      <c r="G79" s="3"/>
      <c r="H79" s="8"/>
      <c r="I79" s="3"/>
      <c r="J79" s="7">
        <f t="shared" si="9"/>
        <v>0</v>
      </c>
      <c r="K79" s="3"/>
      <c r="L79" s="8">
        <f t="shared" si="10"/>
        <v>355.33</v>
      </c>
      <c r="M79" s="3"/>
      <c r="N79" s="7">
        <f t="shared" si="11"/>
        <v>0</v>
      </c>
      <c r="O79" s="12"/>
      <c r="P79" s="8">
        <v>1050.94</v>
      </c>
      <c r="Q79" s="3"/>
      <c r="R79" s="7">
        <f t="shared" si="12"/>
        <v>2.8985735886974443E-3</v>
      </c>
      <c r="S79" s="3"/>
      <c r="T79" s="8"/>
      <c r="U79" s="3"/>
      <c r="V79" s="7">
        <f t="shared" si="13"/>
        <v>0</v>
      </c>
      <c r="W79" s="3"/>
      <c r="X79" s="8">
        <f t="shared" si="14"/>
        <v>1050.94</v>
      </c>
      <c r="Y79" s="3"/>
      <c r="Z79" s="7">
        <f t="shared" si="15"/>
        <v>0</v>
      </c>
    </row>
    <row r="80" spans="1:26" s="70" customFormat="1" ht="15" hidden="1" customHeight="1" outlineLevel="2" x14ac:dyDescent="0.3">
      <c r="A80" s="26"/>
      <c r="B80" s="12" t="str">
        <f>CONCATENATE("          ","6248"," - ","UNIFORMS")</f>
        <v xml:space="preserve">          6248 - UNIFORMS</v>
      </c>
      <c r="C80" s="12"/>
      <c r="D80" s="8">
        <v>1522.25</v>
      </c>
      <c r="E80" s="3"/>
      <c r="F80" s="7">
        <f t="shared" si="8"/>
        <v>1.7205703352990053E-2</v>
      </c>
      <c r="G80" s="3"/>
      <c r="H80" s="8"/>
      <c r="I80" s="3"/>
      <c r="J80" s="7">
        <f t="shared" si="9"/>
        <v>0</v>
      </c>
      <c r="K80" s="3"/>
      <c r="L80" s="8">
        <f t="shared" si="10"/>
        <v>1522.25</v>
      </c>
      <c r="M80" s="3"/>
      <c r="N80" s="7">
        <f t="shared" si="11"/>
        <v>0</v>
      </c>
      <c r="O80" s="12"/>
      <c r="P80" s="8">
        <v>2124.5</v>
      </c>
      <c r="Q80" s="3"/>
      <c r="R80" s="7">
        <f t="shared" si="12"/>
        <v>5.8595348822841646E-3</v>
      </c>
      <c r="S80" s="3"/>
      <c r="T80" s="8">
        <v>1300</v>
      </c>
      <c r="U80" s="3"/>
      <c r="V80" s="7">
        <f t="shared" si="13"/>
        <v>5.0923677159555635E-3</v>
      </c>
      <c r="W80" s="3"/>
      <c r="X80" s="8">
        <f t="shared" si="14"/>
        <v>824.5</v>
      </c>
      <c r="Y80" s="3"/>
      <c r="Z80" s="7">
        <f t="shared" si="15"/>
        <v>0.63423076923076926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SUM(OSRRefD22_13x_0)</f>
        <v>75</v>
      </c>
      <c r="E81" s="2"/>
      <c r="F81" s="6">
        <f t="shared" si="8"/>
        <v>8.4771079091755888E-4</v>
      </c>
      <c r="G81" s="2"/>
      <c r="H81" s="2">
        <f>SUM(OSRRefH22_13x_0)</f>
        <v>150</v>
      </c>
      <c r="I81" s="2"/>
      <c r="J81" s="6">
        <f t="shared" si="9"/>
        <v>1.7132284076113028E-3</v>
      </c>
      <c r="K81" s="2"/>
      <c r="L81" s="2">
        <f t="shared" si="10"/>
        <v>-75</v>
      </c>
      <c r="M81" s="2"/>
      <c r="N81" s="6">
        <f t="shared" si="11"/>
        <v>-0.5</v>
      </c>
      <c r="O81" s="14"/>
      <c r="P81" s="2">
        <f>SUM(OSRRefP22_13x_0)</f>
        <v>750</v>
      </c>
      <c r="Q81" s="2"/>
      <c r="R81" s="6">
        <f t="shared" si="12"/>
        <v>2.06855785441898E-3</v>
      </c>
      <c r="S81" s="2"/>
      <c r="T81" s="2">
        <f>SUM(OSRRefT22_13x_0)</f>
        <v>1200</v>
      </c>
      <c r="U81" s="2"/>
      <c r="V81" s="6">
        <f t="shared" si="13"/>
        <v>4.7006471224205195E-3</v>
      </c>
      <c r="W81" s="2"/>
      <c r="X81" s="2">
        <f t="shared" si="14"/>
        <v>-450</v>
      </c>
      <c r="Y81" s="2"/>
      <c r="Z81" s="6">
        <f t="shared" si="15"/>
        <v>-0.375</v>
      </c>
    </row>
    <row r="82" spans="1:26" s="70" customFormat="1" ht="15" hidden="1" customHeight="1" outlineLevel="2" x14ac:dyDescent="0.3">
      <c r="A82" s="26"/>
      <c r="B82" s="12" t="str">
        <f>CONCATENATE("          ","6309"," - ","TELEPHONE")</f>
        <v xml:space="preserve">          6309 - TELEPHONE</v>
      </c>
      <c r="C82" s="12"/>
      <c r="D82" s="8">
        <v>75</v>
      </c>
      <c r="E82" s="3"/>
      <c r="F82" s="7">
        <f t="shared" si="8"/>
        <v>8.4771079091755888E-4</v>
      </c>
      <c r="G82" s="3"/>
      <c r="H82" s="8">
        <v>150</v>
      </c>
      <c r="I82" s="3"/>
      <c r="J82" s="7">
        <f t="shared" si="9"/>
        <v>1.7132284076113028E-3</v>
      </c>
      <c r="K82" s="3"/>
      <c r="L82" s="8">
        <f t="shared" si="10"/>
        <v>-75</v>
      </c>
      <c r="M82" s="3"/>
      <c r="N82" s="7">
        <f t="shared" si="11"/>
        <v>-0.5</v>
      </c>
      <c r="O82" s="12"/>
      <c r="P82" s="8">
        <v>750</v>
      </c>
      <c r="Q82" s="3"/>
      <c r="R82" s="7">
        <f t="shared" si="12"/>
        <v>2.06855785441898E-3</v>
      </c>
      <c r="S82" s="3"/>
      <c r="T82" s="8">
        <v>1200</v>
      </c>
      <c r="U82" s="3"/>
      <c r="V82" s="7">
        <f t="shared" si="13"/>
        <v>4.7006471224205195E-3</v>
      </c>
      <c r="W82" s="3"/>
      <c r="X82" s="8">
        <f t="shared" si="14"/>
        <v>-450</v>
      </c>
      <c r="Y82" s="3"/>
      <c r="Z82" s="7">
        <f t="shared" si="15"/>
        <v>-0.375</v>
      </c>
    </row>
    <row r="83" spans="1:26" s="69" customFormat="1" ht="15" customHeight="1" outlineLevel="1" collapsed="1" x14ac:dyDescent="0.3">
      <c r="A83" s="25"/>
      <c r="B83" s="14" t="str">
        <f>CONCATENATE("     ","Training                                          ")</f>
        <v xml:space="preserve">     Training                                          </v>
      </c>
      <c r="C83" s="14"/>
      <c r="D83" s="2">
        <f>SUM(OSRRefD22_14x_0)</f>
        <v>200</v>
      </c>
      <c r="E83" s="2"/>
      <c r="F83" s="6">
        <f t="shared" si="8"/>
        <v>2.2605621091134902E-3</v>
      </c>
      <c r="G83" s="2"/>
      <c r="H83" s="2">
        <f>SUM(OSRRefH22_14x_0)</f>
        <v>0</v>
      </c>
      <c r="I83" s="2"/>
      <c r="J83" s="6">
        <f t="shared" si="9"/>
        <v>0</v>
      </c>
      <c r="K83" s="2"/>
      <c r="L83" s="2">
        <f t="shared" si="10"/>
        <v>200</v>
      </c>
      <c r="M83" s="2"/>
      <c r="N83" s="6">
        <f t="shared" si="11"/>
        <v>0</v>
      </c>
      <c r="O83" s="14"/>
      <c r="P83" s="2">
        <f>SUM(OSRRefP22_14x_0)</f>
        <v>200</v>
      </c>
      <c r="Q83" s="2"/>
      <c r="R83" s="6">
        <f t="shared" si="12"/>
        <v>5.5161542784506134E-4</v>
      </c>
      <c r="S83" s="2"/>
      <c r="T83" s="2">
        <f>SUM(OSRRefT22_14x_0)</f>
        <v>400</v>
      </c>
      <c r="U83" s="2"/>
      <c r="V83" s="6">
        <f t="shared" si="13"/>
        <v>1.5668823741401734E-3</v>
      </c>
      <c r="W83" s="2"/>
      <c r="X83" s="2">
        <f t="shared" si="14"/>
        <v>-200</v>
      </c>
      <c r="Y83" s="2"/>
      <c r="Z83" s="6">
        <f t="shared" si="15"/>
        <v>-0.5</v>
      </c>
    </row>
    <row r="84" spans="1:26" s="70" customFormat="1" ht="15" hidden="1" customHeight="1" outlineLevel="2" x14ac:dyDescent="0.3">
      <c r="A84" s="26"/>
      <c r="B84" s="12" t="str">
        <f>CONCATENATE("          ","6376"," - ","TRAINING")</f>
        <v xml:space="preserve">          6376 - TRAINING</v>
      </c>
      <c r="C84" s="12"/>
      <c r="D84" s="8">
        <v>200</v>
      </c>
      <c r="E84" s="3"/>
      <c r="F84" s="7">
        <f t="shared" si="8"/>
        <v>2.2605621091134902E-3</v>
      </c>
      <c r="G84" s="3"/>
      <c r="H84" s="8"/>
      <c r="I84" s="3"/>
      <c r="J84" s="7">
        <f t="shared" si="9"/>
        <v>0</v>
      </c>
      <c r="K84" s="3"/>
      <c r="L84" s="8">
        <f t="shared" si="10"/>
        <v>200</v>
      </c>
      <c r="M84" s="3"/>
      <c r="N84" s="7">
        <f t="shared" si="11"/>
        <v>0</v>
      </c>
      <c r="O84" s="12"/>
      <c r="P84" s="8">
        <v>200</v>
      </c>
      <c r="Q84" s="3"/>
      <c r="R84" s="7">
        <f t="shared" si="12"/>
        <v>5.5161542784506134E-4</v>
      </c>
      <c r="S84" s="3"/>
      <c r="T84" s="8">
        <v>400</v>
      </c>
      <c r="U84" s="3"/>
      <c r="V84" s="7">
        <f t="shared" si="13"/>
        <v>1.5668823741401734E-3</v>
      </c>
      <c r="W84" s="3"/>
      <c r="X84" s="8">
        <f t="shared" si="14"/>
        <v>-200</v>
      </c>
      <c r="Y84" s="3"/>
      <c r="Z84" s="7">
        <f t="shared" si="15"/>
        <v>-0.5</v>
      </c>
    </row>
    <row r="85" spans="1:26" s="69" customFormat="1" ht="15" customHeight="1" outlineLevel="1" collapsed="1" x14ac:dyDescent="0.3">
      <c r="A85" s="25"/>
      <c r="B85" s="14" t="str">
        <f>CONCATENATE("     ","Travel                                            ")</f>
        <v xml:space="preserve">     Travel                                            </v>
      </c>
      <c r="C85" s="14"/>
      <c r="D85" s="2">
        <f>SUM(OSRRefD22_15x_0)</f>
        <v>0</v>
      </c>
      <c r="E85" s="2"/>
      <c r="F85" s="6">
        <f t="shared" si="8"/>
        <v>0</v>
      </c>
      <c r="G85" s="2"/>
      <c r="H85" s="2">
        <f>SUM(OSRRefH22_15x_0)</f>
        <v>600</v>
      </c>
      <c r="I85" s="2"/>
      <c r="J85" s="6">
        <f t="shared" si="9"/>
        <v>6.8529136304452112E-3</v>
      </c>
      <c r="K85" s="2"/>
      <c r="L85" s="2">
        <f t="shared" si="10"/>
        <v>-600</v>
      </c>
      <c r="M85" s="2"/>
      <c r="N85" s="6">
        <f t="shared" si="11"/>
        <v>-1</v>
      </c>
      <c r="O85" s="14"/>
      <c r="P85" s="2">
        <f>SUM(OSRRefP22_15x_0)</f>
        <v>0</v>
      </c>
      <c r="Q85" s="2"/>
      <c r="R85" s="6">
        <f t="shared" si="12"/>
        <v>0</v>
      </c>
      <c r="S85" s="2"/>
      <c r="T85" s="2">
        <f>SUM(OSRRefT22_15x_0)</f>
        <v>600</v>
      </c>
      <c r="U85" s="2"/>
      <c r="V85" s="6">
        <f t="shared" si="13"/>
        <v>2.3503235612102598E-3</v>
      </c>
      <c r="W85" s="2"/>
      <c r="X85" s="2">
        <f t="shared" si="14"/>
        <v>-600</v>
      </c>
      <c r="Y85" s="2"/>
      <c r="Z85" s="6">
        <f t="shared" si="15"/>
        <v>-1</v>
      </c>
    </row>
    <row r="86" spans="1:26" s="70" customFormat="1" ht="15" hidden="1" customHeight="1" outlineLevel="2" x14ac:dyDescent="0.3">
      <c r="A86" s="26"/>
      <c r="B86" s="12" t="str">
        <f>CONCATENATE("          ","6292"," - ","TRAVEL/CONFERENCE")</f>
        <v xml:space="preserve">          6292 - TRAVEL/CONFERENCE</v>
      </c>
      <c r="C86" s="12"/>
      <c r="D86" s="8"/>
      <c r="E86" s="3"/>
      <c r="F86" s="7">
        <f t="shared" si="8"/>
        <v>0</v>
      </c>
      <c r="G86" s="3"/>
      <c r="H86" s="8">
        <v>600</v>
      </c>
      <c r="I86" s="3"/>
      <c r="J86" s="7">
        <f t="shared" si="9"/>
        <v>6.8529136304452112E-3</v>
      </c>
      <c r="K86" s="3"/>
      <c r="L86" s="8">
        <f t="shared" si="10"/>
        <v>-600</v>
      </c>
      <c r="M86" s="3"/>
      <c r="N86" s="7">
        <f t="shared" si="11"/>
        <v>-1</v>
      </c>
      <c r="O86" s="12"/>
      <c r="P86" s="8"/>
      <c r="Q86" s="3"/>
      <c r="R86" s="7">
        <f t="shared" si="12"/>
        <v>0</v>
      </c>
      <c r="S86" s="3"/>
      <c r="T86" s="8">
        <v>600</v>
      </c>
      <c r="U86" s="3"/>
      <c r="V86" s="7">
        <f t="shared" si="13"/>
        <v>2.3503235612102598E-3</v>
      </c>
      <c r="W86" s="3"/>
      <c r="X86" s="8">
        <f t="shared" si="14"/>
        <v>-600</v>
      </c>
      <c r="Y86" s="3"/>
      <c r="Z86" s="7">
        <f t="shared" si="15"/>
        <v>-1</v>
      </c>
    </row>
    <row r="87" spans="1:26" s="69" customFormat="1" ht="15" customHeight="1" outlineLevel="1" collapsed="1" x14ac:dyDescent="0.3">
      <c r="A87" s="25"/>
      <c r="B87" s="14" t="str">
        <f>CONCATENATE("     ","Utilities                                         ")</f>
        <v xml:space="preserve">     Utilities                                         </v>
      </c>
      <c r="C87" s="14"/>
      <c r="D87" s="2">
        <f>SUM(OSRRefD22_16x_0)</f>
        <v>200</v>
      </c>
      <c r="E87" s="2"/>
      <c r="F87" s="6">
        <f t="shared" si="8"/>
        <v>2.2605621091134902E-3</v>
      </c>
      <c r="G87" s="2"/>
      <c r="H87" s="2">
        <f>SUM(OSRRefH22_16x_0)</f>
        <v>200</v>
      </c>
      <c r="I87" s="2"/>
      <c r="J87" s="6">
        <f t="shared" si="9"/>
        <v>2.2843045434817371E-3</v>
      </c>
      <c r="K87" s="2"/>
      <c r="L87" s="2">
        <f t="shared" si="10"/>
        <v>0</v>
      </c>
      <c r="M87" s="2"/>
      <c r="N87" s="6">
        <f t="shared" si="11"/>
        <v>0</v>
      </c>
      <c r="O87" s="14"/>
      <c r="P87" s="2">
        <f>SUM(OSRRefP22_16x_0)</f>
        <v>1600</v>
      </c>
      <c r="Q87" s="2"/>
      <c r="R87" s="6">
        <f t="shared" si="12"/>
        <v>4.4129234227604907E-3</v>
      </c>
      <c r="S87" s="2"/>
      <c r="T87" s="2">
        <f>SUM(OSRRefT22_16x_0)</f>
        <v>1600</v>
      </c>
      <c r="U87" s="2"/>
      <c r="V87" s="6">
        <f t="shared" si="13"/>
        <v>6.2675294965606936E-3</v>
      </c>
      <c r="W87" s="2"/>
      <c r="X87" s="2">
        <f t="shared" si="14"/>
        <v>0</v>
      </c>
      <c r="Y87" s="2"/>
      <c r="Z87" s="6">
        <f t="shared" si="15"/>
        <v>0</v>
      </c>
    </row>
    <row r="88" spans="1:26" s="70" customFormat="1" ht="15" hidden="1" customHeight="1" outlineLevel="2" x14ac:dyDescent="0.3">
      <c r="A88" s="26"/>
      <c r="B88" s="12" t="str">
        <f>CONCATENATE("          ","6274"," - ","UTILITIES")</f>
        <v xml:space="preserve">          6274 - UTILITIES</v>
      </c>
      <c r="C88" s="12"/>
      <c r="D88" s="8">
        <v>200</v>
      </c>
      <c r="E88" s="3"/>
      <c r="F88" s="7">
        <f t="shared" si="8"/>
        <v>2.2605621091134902E-3</v>
      </c>
      <c r="G88" s="3"/>
      <c r="H88" s="8">
        <v>200</v>
      </c>
      <c r="I88" s="3"/>
      <c r="J88" s="7">
        <f t="shared" si="9"/>
        <v>2.2843045434817371E-3</v>
      </c>
      <c r="K88" s="3"/>
      <c r="L88" s="8">
        <f t="shared" si="10"/>
        <v>0</v>
      </c>
      <c r="M88" s="3"/>
      <c r="N88" s="7">
        <f t="shared" si="11"/>
        <v>0</v>
      </c>
      <c r="O88" s="12"/>
      <c r="P88" s="8">
        <v>1600</v>
      </c>
      <c r="Q88" s="3"/>
      <c r="R88" s="7">
        <f t="shared" si="12"/>
        <v>4.4129234227604907E-3</v>
      </c>
      <c r="S88" s="3"/>
      <c r="T88" s="8">
        <v>1600</v>
      </c>
      <c r="U88" s="3"/>
      <c r="V88" s="7">
        <f t="shared" si="13"/>
        <v>6.2675294965606936E-3</v>
      </c>
      <c r="W88" s="3"/>
      <c r="X88" s="8">
        <f t="shared" si="14"/>
        <v>0</v>
      </c>
      <c r="Y88" s="3"/>
      <c r="Z88" s="7">
        <f t="shared" si="15"/>
        <v>0</v>
      </c>
    </row>
    <row r="89" spans="1:26" s="65" customFormat="1" ht="15" customHeight="1" x14ac:dyDescent="0.3">
      <c r="A89" s="35"/>
      <c r="B89" s="35"/>
      <c r="C89" s="35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35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63" customFormat="1" ht="15" customHeight="1" collapsed="1" x14ac:dyDescent="0.3">
      <c r="A90" s="11"/>
      <c r="B90" s="27" t="s">
        <v>291</v>
      </c>
      <c r="C90" s="11"/>
      <c r="D90" s="5">
        <f>SUM(OSRRefD25x_0)</f>
        <v>0</v>
      </c>
      <c r="E90" s="5"/>
      <c r="F90" s="13">
        <f>IF(D$12=0,0,D90/D$12)</f>
        <v>0</v>
      </c>
      <c r="G90" s="5"/>
      <c r="H90" s="5">
        <f>SUM(OSRRefH25x_0)</f>
        <v>0</v>
      </c>
      <c r="I90" s="5"/>
      <c r="J90" s="13">
        <f>IF(H$12=0,0,H90/H$12)</f>
        <v>0</v>
      </c>
      <c r="K90" s="5"/>
      <c r="L90" s="5">
        <f>+D90-H90</f>
        <v>0</v>
      </c>
      <c r="M90" s="5"/>
      <c r="N90" s="13">
        <f>IF(H90=0,0,L90/H90)</f>
        <v>0</v>
      </c>
      <c r="O90" s="11"/>
      <c r="P90" s="5">
        <f>SUM(OSRRefP25x_0)</f>
        <v>192</v>
      </c>
      <c r="Q90" s="5"/>
      <c r="R90" s="13">
        <f>IF(P$12=0,0,P90/P$12)</f>
        <v>5.2955081073125887E-4</v>
      </c>
      <c r="S90" s="5"/>
      <c r="T90" s="5">
        <f>SUM(OSRRefT25x_0)</f>
        <v>0</v>
      </c>
      <c r="U90" s="5"/>
      <c r="V90" s="13">
        <f>IF(T$12=0,0,T90/T$12)</f>
        <v>0</v>
      </c>
      <c r="W90" s="5"/>
      <c r="X90" s="5">
        <f>+P90-T90</f>
        <v>192</v>
      </c>
      <c r="Y90" s="5"/>
      <c r="Z90" s="13">
        <f>IF(T90=0,0,X90/T90)</f>
        <v>0</v>
      </c>
    </row>
    <row r="91" spans="1:26" s="70" customFormat="1" ht="15" hidden="1" customHeight="1" outlineLevel="1" x14ac:dyDescent="0.3">
      <c r="A91" s="42"/>
      <c r="B91" s="12" t="str">
        <f>CONCATENATE("          ","9150"," - ","MISC. INCOME")</f>
        <v xml:space="preserve">          9150 -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/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--192</f>
        <v>192</v>
      </c>
      <c r="Q91" s="3"/>
      <c r="R91" s="20">
        <f>IF(P$12=0,0,P91/P$12)</f>
        <v>5.2955081073125887E-4</v>
      </c>
      <c r="S91" s="3"/>
      <c r="T91" s="3"/>
      <c r="U91" s="3"/>
      <c r="V91" s="20">
        <f>IF(T$12=0,0,T91/T$12)</f>
        <v>0</v>
      </c>
      <c r="W91" s="3"/>
      <c r="X91" s="3">
        <f>+P91-T91</f>
        <v>192</v>
      </c>
      <c r="Y91" s="3"/>
      <c r="Z91" s="20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8" t="s">
        <v>292</v>
      </c>
      <c r="C93" s="28"/>
      <c r="D93" s="21">
        <f>+D23-D25+D90</f>
        <v>5631.0099999999948</v>
      </c>
      <c r="E93" s="15"/>
      <c r="F93" s="22">
        <f>IF(D$12=0,0,D93/D$12)</f>
        <v>6.3646239210195715E-2</v>
      </c>
      <c r="G93" s="15"/>
      <c r="H93" s="21">
        <f>+H23-H25+H90</f>
        <v>11431.28402215385</v>
      </c>
      <c r="I93" s="15"/>
      <c r="J93" s="22">
        <f>IF(H$12=0,0,H93/H$12)</f>
        <v>0.13056267014818113</v>
      </c>
      <c r="K93" s="16"/>
      <c r="L93" s="21">
        <f>+D93-H93</f>
        <v>-5800.2740221538552</v>
      </c>
      <c r="M93" s="16"/>
      <c r="N93" s="22">
        <f>IF(H93=0,0,L93/H93)</f>
        <v>-0.50740354372377705</v>
      </c>
      <c r="O93" s="27"/>
      <c r="P93" s="21">
        <f>+P23-P25+P90</f>
        <v>-60057.229999999952</v>
      </c>
      <c r="Q93" s="15"/>
      <c r="R93" s="22">
        <f>IF(P$12=0,0,P93/P$12)</f>
        <v>-0.16564247310819613</v>
      </c>
      <c r="S93" s="15"/>
      <c r="T93" s="21">
        <f>+T23-T25+T90</f>
        <v>-105371.72782015381</v>
      </c>
      <c r="U93" s="15"/>
      <c r="V93" s="22">
        <f>IF(T$12=0,0,T93/T$12)</f>
        <v>-0.4127627576352369</v>
      </c>
      <c r="W93" s="16"/>
      <c r="X93" s="21">
        <f>+P93-T93</f>
        <v>45314.497820153862</v>
      </c>
      <c r="Y93" s="16"/>
      <c r="Z93" s="22">
        <f>IF(T93=0,0,X93/T93)</f>
        <v>-0.43004417558280594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8975.5300000000007</v>
      </c>
      <c r="E95" s="5"/>
      <c r="F95" s="13">
        <f>IF(D$12=0,0,D95/D$12)</f>
        <v>0.10144871513605704</v>
      </c>
      <c r="G95" s="5"/>
      <c r="H95" s="5">
        <v>10192</v>
      </c>
      <c r="I95" s="5"/>
      <c r="J95" s="13">
        <f>IF(H$12=0,0,H95/H$12)</f>
        <v>0.11640815953582932</v>
      </c>
      <c r="K95" s="5"/>
      <c r="L95" s="5">
        <f>+D95-H95</f>
        <v>-1216.4699999999993</v>
      </c>
      <c r="M95" s="5"/>
      <c r="N95" s="13">
        <f>IF(H95=0,0,L95/H95)</f>
        <v>-0.11935537676609098</v>
      </c>
      <c r="O95" s="11"/>
      <c r="P95" s="5">
        <v>45257.15</v>
      </c>
      <c r="Q95" s="5"/>
      <c r="R95" s="13">
        <f>IF(P$12=0,0,P95/P$12)</f>
        <v>0.1248227108014906</v>
      </c>
      <c r="S95" s="5"/>
      <c r="T95" s="5">
        <v>31208</v>
      </c>
      <c r="U95" s="5"/>
      <c r="V95" s="13">
        <f>IF(T$12=0,0,T95/T$12)</f>
        <v>0.12224816283041633</v>
      </c>
      <c r="W95" s="5"/>
      <c r="X95" s="5">
        <f>+P95-T95</f>
        <v>14049.150000000001</v>
      </c>
      <c r="Y95" s="5"/>
      <c r="Z95" s="13">
        <f>IF(T95=0,0,X95/T95)</f>
        <v>0.45017783901563707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8" t="s">
        <v>294</v>
      </c>
      <c r="C97" s="28"/>
      <c r="D97" s="33">
        <f>+D93-D95</f>
        <v>-3344.5200000000059</v>
      </c>
      <c r="E97" s="15"/>
      <c r="F97" s="32">
        <f>IF(D$12=0,0,D97/D$12)</f>
        <v>-3.780247592586132E-2</v>
      </c>
      <c r="G97" s="15"/>
      <c r="H97" s="33">
        <f>+H93-H95</f>
        <v>1239.2840221538499</v>
      </c>
      <c r="I97" s="15"/>
      <c r="J97" s="32">
        <f>IF(H$12=0,0,H97/H$12)</f>
        <v>1.4154510612351805E-2</v>
      </c>
      <c r="K97" s="16"/>
      <c r="L97" s="33">
        <f>D97-H97</f>
        <v>-4583.8040221538558</v>
      </c>
      <c r="M97" s="16"/>
      <c r="N97" s="32">
        <f>IF(H97=0,0,L97/H97)</f>
        <v>-3.6987518117011624</v>
      </c>
      <c r="O97" s="27"/>
      <c r="P97" s="33">
        <f>+P93-P95</f>
        <v>-105314.37999999995</v>
      </c>
      <c r="Q97" s="15"/>
      <c r="R97" s="32">
        <f>IF(P$12=0,0,P97/P$12)</f>
        <v>-0.29046518390968673</v>
      </c>
      <c r="S97" s="15"/>
      <c r="T97" s="33">
        <f>+T93-T95</f>
        <v>-136579.72782015381</v>
      </c>
      <c r="U97" s="15"/>
      <c r="V97" s="32">
        <f>IF(T$12=0,0,T97/T$12)</f>
        <v>-0.53501092046565324</v>
      </c>
      <c r="W97" s="16"/>
      <c r="X97" s="33">
        <f>P97-T97</f>
        <v>31265.347820153867</v>
      </c>
      <c r="Y97" s="16"/>
      <c r="Z97" s="32">
        <f>IF(T97=0,0,X97/T97)</f>
        <v>-0.22891646014497569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8" t="s">
        <v>297</v>
      </c>
      <c r="C100" s="28"/>
      <c r="D100" s="34">
        <f>SUM(D97:D99)</f>
        <v>-3344.5200000000059</v>
      </c>
      <c r="E100" s="15"/>
      <c r="F100" s="30">
        <f>IF(D$12=0,0,D100/D$12)</f>
        <v>-3.780247592586132E-2</v>
      </c>
      <c r="G100" s="15"/>
      <c r="H100" s="34">
        <f>SUM(H97:H99)</f>
        <v>1239.2840221538499</v>
      </c>
      <c r="I100" s="15"/>
      <c r="J100" s="30">
        <f>IF(H$12=0,0,H100/H$12)</f>
        <v>1.4154510612351805E-2</v>
      </c>
      <c r="K100" s="16"/>
      <c r="L100" s="34">
        <f>+D100-H100</f>
        <v>-4583.8040221538558</v>
      </c>
      <c r="M100" s="16"/>
      <c r="N100" s="30">
        <f>IF(H100=0,0,L100/H100)</f>
        <v>-3.6987518117011624</v>
      </c>
      <c r="O100" s="27"/>
      <c r="P100" s="34">
        <f>SUM(P97:P99)</f>
        <v>-105314.37999999995</v>
      </c>
      <c r="Q100" s="15"/>
      <c r="R100" s="30">
        <f>IF(P$12=0,0,P100/P$12)</f>
        <v>-0.29046518390968673</v>
      </c>
      <c r="S100" s="15"/>
      <c r="T100" s="34">
        <f>SUM(T97:T99)</f>
        <v>-136579.72782015381</v>
      </c>
      <c r="U100" s="15"/>
      <c r="V100" s="30">
        <f>IF(T$12=0,0,T100/T$12)</f>
        <v>-0.53501092046565324</v>
      </c>
      <c r="W100" s="16"/>
      <c r="X100" s="34">
        <f>+P100-T100</f>
        <v>31265.347820153867</v>
      </c>
      <c r="Y100" s="16"/>
      <c r="Z100" s="30">
        <f>IF(T100=0,0,X100/T100)</f>
        <v>-0.22891646014497569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0"/>
      <c r="B102" s="57">
        <v>44634.883430555557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0"/>
      <c r="B103" s="56" t="s">
        <v>298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0"/>
      <c r="B104" s="54"/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33DB-5D29-93DF-D79B-ED2CB6AB056E}">
  <sheetPr>
    <tabColor rgb="FF92D050"/>
    <outlinePr summaryBelow="0" summaryRight="0"/>
  </sheetPr>
  <dimension ref="A2:Z3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","406"," - ","OPA! Greek")</f>
        <v>Department 406 - OPA! Greek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0</v>
      </c>
      <c r="E18" s="23"/>
      <c r="F18" s="29">
        <f>IF(D$12=0,0,D18/D$12)</f>
        <v>0</v>
      </c>
      <c r="G18" s="23"/>
      <c r="H18" s="23" cm="1">
        <f t="array" ref="H18">SUM(OSRRefH22x_0)</f>
        <v>0</v>
      </c>
      <c r="I18" s="23"/>
      <c r="J18" s="29">
        <f>IF(H$12=0,0,H18/H$12)</f>
        <v>0</v>
      </c>
      <c r="K18" s="5"/>
      <c r="L18" s="23">
        <f>+D18-H18</f>
        <v>0</v>
      </c>
      <c r="M18" s="5"/>
      <c r="N18" s="29">
        <f>IF(H18=0,0,L18/H18)</f>
        <v>0</v>
      </c>
      <c r="O18" s="11"/>
      <c r="P18" s="23" cm="1">
        <f t="array" ref="P18">SUM(OSRRefP22x_0)</f>
        <v>69.290000000000006</v>
      </c>
      <c r="Q18" s="23"/>
      <c r="R18" s="29">
        <f>IF(P$12=0,0,P18/P$12)</f>
        <v>0</v>
      </c>
      <c r="S18" s="23"/>
      <c r="T18" s="23" cm="1">
        <f t="array" ref="T18">SUM(OSRRefT22x_0)</f>
        <v>0</v>
      </c>
      <c r="U18" s="23"/>
      <c r="V18" s="29">
        <f>IF(T$12=0,0,T18/T$12)</f>
        <v>0</v>
      </c>
      <c r="W18" s="5"/>
      <c r="X18" s="23">
        <f>+P18-T18</f>
        <v>69.290000000000006</v>
      </c>
      <c r="Y18" s="5"/>
      <c r="Z18" s="29">
        <f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","Repair and Maintenance                            ")</f>
        <v xml:space="preserve">     Repair and Maintenance                            </v>
      </c>
      <c r="C19" s="14"/>
      <c r="D19" s="2">
        <f>SUM(OSRRefD22_0x_0)</f>
        <v>0</v>
      </c>
      <c r="E19" s="2"/>
      <c r="F19" s="6">
        <f>IF(D$12=0,0,D19/D$12)</f>
        <v>0</v>
      </c>
      <c r="G19" s="2"/>
      <c r="H19" s="2">
        <f>SUM(OSRRefH22_0x_0)</f>
        <v>0</v>
      </c>
      <c r="I19" s="2"/>
      <c r="J19" s="6">
        <f>IF(H$12=0,0,H19/H$12)</f>
        <v>0</v>
      </c>
      <c r="K19" s="2"/>
      <c r="L19" s="2">
        <f>+D19-H19</f>
        <v>0</v>
      </c>
      <c r="M19" s="2"/>
      <c r="N19" s="6">
        <f>IF(H19=0,0,L19/H19)</f>
        <v>0</v>
      </c>
      <c r="O19" s="14"/>
      <c r="P19" s="2">
        <f>SUM(OSRRefP22_0x_0)</f>
        <v>69.290000000000006</v>
      </c>
      <c r="Q19" s="2"/>
      <c r="R19" s="6">
        <f>IF(P$12=0,0,P19/P$12)</f>
        <v>0</v>
      </c>
      <c r="S19" s="2"/>
      <c r="T19" s="2">
        <f>SUM(OSRRefT22_0x_0)</f>
        <v>0</v>
      </c>
      <c r="U19" s="2"/>
      <c r="V19" s="6">
        <f>IF(T$12=0,0,T19/T$12)</f>
        <v>0</v>
      </c>
      <c r="W19" s="2"/>
      <c r="X19" s="2">
        <f>+P19-T19</f>
        <v>69.290000000000006</v>
      </c>
      <c r="Y19" s="2"/>
      <c r="Z19" s="6">
        <f>IF(T19=0,0,X19/T19)</f>
        <v>0</v>
      </c>
    </row>
    <row r="20" spans="1:26" s="70" customFormat="1" ht="15" hidden="1" customHeight="1" outlineLevel="2" x14ac:dyDescent="0.3">
      <c r="A20" s="26"/>
      <c r="B20" s="12" t="str">
        <f>CONCATENATE("          ","6373"," - ","MAINTENANCE CONTRACTS")</f>
        <v xml:space="preserve">          6373 - MAINTENANCE CONTRACTS</v>
      </c>
      <c r="C20" s="12"/>
      <c r="D20" s="8"/>
      <c r="E20" s="3"/>
      <c r="F20" s="7">
        <f>IF(D$12=0,0,D20/D$12)</f>
        <v>0</v>
      </c>
      <c r="G20" s="3"/>
      <c r="H20" s="8"/>
      <c r="I20" s="3"/>
      <c r="J20" s="7">
        <f>IF(H$12=0,0,H20/H$12)</f>
        <v>0</v>
      </c>
      <c r="K20" s="3"/>
      <c r="L20" s="8">
        <f>+D20-H20</f>
        <v>0</v>
      </c>
      <c r="M20" s="3"/>
      <c r="N20" s="7">
        <f>IF(H20=0,0,L20/H20)</f>
        <v>0</v>
      </c>
      <c r="O20" s="12"/>
      <c r="P20" s="8">
        <v>69.290000000000006</v>
      </c>
      <c r="Q20" s="3"/>
      <c r="R20" s="7">
        <f>IF(P$12=0,0,P20/P$12)</f>
        <v>0</v>
      </c>
      <c r="S20" s="3"/>
      <c r="T20" s="8"/>
      <c r="U20" s="3"/>
      <c r="V20" s="7">
        <f>IF(T$12=0,0,T20/T$12)</f>
        <v>0</v>
      </c>
      <c r="W20" s="3"/>
      <c r="X20" s="8">
        <f>+P20-T20</f>
        <v>69.290000000000006</v>
      </c>
      <c r="Y20" s="3"/>
      <c r="Z20" s="7">
        <f>IF(T20=0,0,X20/T20)</f>
        <v>0</v>
      </c>
    </row>
    <row r="21" spans="1:26" s="69" customFormat="1" ht="15" customHeight="1" outlineLevel="1" collapsed="1" x14ac:dyDescent="0.3">
      <c r="A21" s="25"/>
      <c r="B21" s="14" t="str">
        <f>CONCATENATE("     ","Services                                          ")</f>
        <v xml:space="preserve">     Services                                          </v>
      </c>
      <c r="C21" s="14"/>
      <c r="D21" s="2">
        <f>SUM(OSRRefD22_1x_0)</f>
        <v>0</v>
      </c>
      <c r="E21" s="2"/>
      <c r="F21" s="6">
        <f>IF(D$12=0,0,D21/D$12)</f>
        <v>0</v>
      </c>
      <c r="G21" s="2"/>
      <c r="H21" s="2">
        <f>SUM(OSRRefH22_1x_0)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SUM(OSRRefP22_1x_0)</f>
        <v>0</v>
      </c>
      <c r="Q21" s="2"/>
      <c r="R21" s="6">
        <f>IF(P$12=0,0,P21/P$12)</f>
        <v>0</v>
      </c>
      <c r="S21" s="2"/>
      <c r="T21" s="2">
        <f>SUM(OSRRefT22_1x_0)</f>
        <v>0</v>
      </c>
      <c r="U21" s="2"/>
      <c r="V21" s="6">
        <f>IF(T$12=0,0,T21/T$12)</f>
        <v>0</v>
      </c>
      <c r="W21" s="2"/>
      <c r="X21" s="2">
        <f>+P21-T21</f>
        <v>0</v>
      </c>
      <c r="Y21" s="2"/>
      <c r="Z21" s="6">
        <f>IF(T21=0,0,X21/T21)</f>
        <v>0</v>
      </c>
    </row>
    <row r="22" spans="1:26" s="70" customFormat="1" ht="15" hidden="1" customHeight="1" outlineLevel="2" x14ac:dyDescent="0.3">
      <c r="A22" s="26"/>
      <c r="B22" s="12" t="str">
        <f>CONCATENATE("          ","6284"," - ","TRASH REMOVAL EXPENSE")</f>
        <v xml:space="preserve">          6284 - TRASH REMOVAL EXPENSE</v>
      </c>
      <c r="C22" s="12"/>
      <c r="D22" s="8"/>
      <c r="E22" s="3"/>
      <c r="F22" s="7">
        <f>IF(D$12=0,0,D22/D$12)</f>
        <v>0</v>
      </c>
      <c r="G22" s="3"/>
      <c r="H22" s="8"/>
      <c r="I22" s="3"/>
      <c r="J22" s="7">
        <f>IF(H$12=0,0,H22/H$12)</f>
        <v>0</v>
      </c>
      <c r="K22" s="3"/>
      <c r="L22" s="8">
        <f>+D22-H22</f>
        <v>0</v>
      </c>
      <c r="M22" s="3"/>
      <c r="N22" s="7">
        <f>IF(H22=0,0,L22/H22)</f>
        <v>0</v>
      </c>
      <c r="O22" s="12"/>
      <c r="P22" s="8"/>
      <c r="Q22" s="3"/>
      <c r="R22" s="7">
        <f>IF(P$12=0,0,P22/P$12)</f>
        <v>0</v>
      </c>
      <c r="S22" s="3"/>
      <c r="T22" s="8">
        <v>0</v>
      </c>
      <c r="U22" s="3"/>
      <c r="V22" s="7">
        <f>IF(T$12=0,0,T22/T$12)</f>
        <v>0</v>
      </c>
      <c r="W22" s="3"/>
      <c r="X22" s="8">
        <f>+P22-T22</f>
        <v>0</v>
      </c>
      <c r="Y22" s="3"/>
      <c r="Z22" s="7">
        <f>IF(T22=0,0,X22/T22)</f>
        <v>0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7" t="s">
        <v>291</v>
      </c>
      <c r="C24" s="11"/>
      <c r="D24" s="5">
        <f>SUM(0)</f>
        <v>0</v>
      </c>
      <c r="E24" s="5"/>
      <c r="F24" s="13">
        <f>IF(D$12=0,0,D24/D$12)</f>
        <v>0</v>
      </c>
      <c r="G24" s="5"/>
      <c r="H24" s="5">
        <f>SUM(0)</f>
        <v>0</v>
      </c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>
        <f>SUM(0)</f>
        <v>0</v>
      </c>
      <c r="Q24" s="5"/>
      <c r="R24" s="13">
        <f>IF(P$12=0,0,P24/P$12)</f>
        <v>0</v>
      </c>
      <c r="S24" s="5"/>
      <c r="T24" s="5">
        <f>SUM(0)</f>
        <v>0</v>
      </c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8" t="s">
        <v>292</v>
      </c>
      <c r="C26" s="28"/>
      <c r="D26" s="21">
        <f>+D16-D18+D24</f>
        <v>0</v>
      </c>
      <c r="E26" s="15"/>
      <c r="F26" s="22">
        <f>IF(D$12=0,0,D26/D$12)</f>
        <v>0</v>
      </c>
      <c r="G26" s="15"/>
      <c r="H26" s="21">
        <f>+H16-H18+H24</f>
        <v>0</v>
      </c>
      <c r="I26" s="15"/>
      <c r="J26" s="22">
        <f>IF(H$12=0,0,H26/H$12)</f>
        <v>0</v>
      </c>
      <c r="K26" s="16"/>
      <c r="L26" s="21">
        <f>+D26-H26</f>
        <v>0</v>
      </c>
      <c r="M26" s="16"/>
      <c r="N26" s="22">
        <f>IF(H26=0,0,L26/H26)</f>
        <v>0</v>
      </c>
      <c r="O26" s="27"/>
      <c r="P26" s="21">
        <f>+P16-P18+P24</f>
        <v>-69.290000000000006</v>
      </c>
      <c r="Q26" s="15"/>
      <c r="R26" s="22">
        <f>IF(P$12=0,0,P26/P$12)</f>
        <v>0</v>
      </c>
      <c r="S26" s="15"/>
      <c r="T26" s="21">
        <f>+T16-T18+T24</f>
        <v>0</v>
      </c>
      <c r="U26" s="15"/>
      <c r="V26" s="22">
        <f>IF(T$12=0,0,T26/T$12)</f>
        <v>0</v>
      </c>
      <c r="W26" s="16"/>
      <c r="X26" s="21">
        <f>+P26-T26</f>
        <v>-69.290000000000006</v>
      </c>
      <c r="Y26" s="16"/>
      <c r="Z26" s="22">
        <f>IF(T26=0,0,X26/T26)</f>
        <v>0</v>
      </c>
    </row>
    <row r="27" spans="1:26" ht="15" customHeight="1" x14ac:dyDescent="0.3">
      <c r="A27" s="10"/>
      <c r="B27" s="11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293</v>
      </c>
      <c r="C28" s="11"/>
      <c r="D28" s="5"/>
      <c r="E28" s="5"/>
      <c r="F28" s="13">
        <f>IF(D$12=0,0,D28/D$12)</f>
        <v>0</v>
      </c>
      <c r="G28" s="5"/>
      <c r="H28" s="5"/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/>
      <c r="Q28" s="5"/>
      <c r="R28" s="13">
        <f>IF(P$12=0,0,P28/P$12)</f>
        <v>0</v>
      </c>
      <c r="S28" s="5"/>
      <c r="T28" s="5"/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8" t="s">
        <v>294</v>
      </c>
      <c r="C30" s="28"/>
      <c r="D30" s="33">
        <f>+D26-D28</f>
        <v>0</v>
      </c>
      <c r="E30" s="15"/>
      <c r="F30" s="32">
        <f>IF(D$12=0,0,D30/D$12)</f>
        <v>0</v>
      </c>
      <c r="G30" s="15"/>
      <c r="H30" s="33">
        <f>+H26-H28</f>
        <v>0</v>
      </c>
      <c r="I30" s="15"/>
      <c r="J30" s="32">
        <f>IF(H$12=0,0,H30/H$12)</f>
        <v>0</v>
      </c>
      <c r="K30" s="16"/>
      <c r="L30" s="33">
        <f>D30-H30</f>
        <v>0</v>
      </c>
      <c r="M30" s="16"/>
      <c r="N30" s="32">
        <f>IF(H30=0,0,L30/H30)</f>
        <v>0</v>
      </c>
      <c r="O30" s="27"/>
      <c r="P30" s="33">
        <f>+P26-P28</f>
        <v>-69.290000000000006</v>
      </c>
      <c r="Q30" s="15"/>
      <c r="R30" s="32">
        <f>IF(P$12=0,0,P30/P$12)</f>
        <v>0</v>
      </c>
      <c r="S30" s="15"/>
      <c r="T30" s="33">
        <f>+T26-T28</f>
        <v>0</v>
      </c>
      <c r="U30" s="15"/>
      <c r="V30" s="32">
        <f>IF(T$12=0,0,T30/T$12)</f>
        <v>0</v>
      </c>
      <c r="W30" s="16"/>
      <c r="X30" s="33">
        <f>P30-T30</f>
        <v>-69.290000000000006</v>
      </c>
      <c r="Y30" s="16"/>
      <c r="Z30" s="32">
        <f>IF(T30=0,0,X30/T30)</f>
        <v>0</v>
      </c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11"/>
      <c r="B33" s="28" t="s">
        <v>297</v>
      </c>
      <c r="C33" s="28"/>
      <c r="D33" s="34">
        <f>SUM(D30:D32)</f>
        <v>0</v>
      </c>
      <c r="E33" s="15"/>
      <c r="F33" s="30">
        <f>IF(D$12=0,0,D33/D$12)</f>
        <v>0</v>
      </c>
      <c r="G33" s="15"/>
      <c r="H33" s="34">
        <f>SUM(H30:H32)</f>
        <v>0</v>
      </c>
      <c r="I33" s="15"/>
      <c r="J33" s="30">
        <f>IF(H$12=0,0,H33/H$12)</f>
        <v>0</v>
      </c>
      <c r="K33" s="16"/>
      <c r="L33" s="34">
        <f>+D33-H33</f>
        <v>0</v>
      </c>
      <c r="M33" s="16"/>
      <c r="N33" s="30">
        <f>IF(H33=0,0,L33/H33)</f>
        <v>0</v>
      </c>
      <c r="O33" s="27"/>
      <c r="P33" s="34">
        <f>SUM(P30:P32)</f>
        <v>-69.290000000000006</v>
      </c>
      <c r="Q33" s="15"/>
      <c r="R33" s="30">
        <f>IF(P$12=0,0,P33/P$12)</f>
        <v>0</v>
      </c>
      <c r="S33" s="15"/>
      <c r="T33" s="34">
        <f>SUM(T30:T32)</f>
        <v>0</v>
      </c>
      <c r="U33" s="15"/>
      <c r="V33" s="30">
        <f>IF(T$12=0,0,T33/T$12)</f>
        <v>0</v>
      </c>
      <c r="W33" s="16"/>
      <c r="X33" s="34">
        <f>+P33-T33</f>
        <v>-69.290000000000006</v>
      </c>
      <c r="Y33" s="16"/>
      <c r="Z33" s="30">
        <f>IF(T33=0,0,X33/T33)</f>
        <v>0</v>
      </c>
    </row>
    <row r="34" spans="1:26" ht="15" customHeight="1" x14ac:dyDescent="0.3">
      <c r="A34" s="10"/>
      <c r="C34" s="10"/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6" ht="15" customHeight="1" x14ac:dyDescent="0.3">
      <c r="A35" s="10"/>
      <c r="B35" s="57">
        <v>44634.883430555557</v>
      </c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6" ht="15" customHeight="1" x14ac:dyDescent="0.3">
      <c r="A36" s="10"/>
      <c r="B36" s="56" t="s">
        <v>298</v>
      </c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0"/>
      <c r="B37" s="54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3C681-B1E3-F8F6-F68E-FFDB4AED52AA}">
  <sheetPr>
    <tabColor rgb="FF92D050"/>
    <outlinePr summaryBelow="0" summaryRight="0"/>
  </sheetPr>
  <dimension ref="A2:Z9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","411"," - ","University Dining")</f>
        <v>Department 411 - University Dining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43353.869999999995</v>
      </c>
      <c r="E18" s="23"/>
      <c r="F18" s="29">
        <f t="shared" ref="F18:F49" si="0">IF(D$12=0,0,D18/D$12)</f>
        <v>0</v>
      </c>
      <c r="G18" s="23"/>
      <c r="H18" s="23" cm="1">
        <f t="array" ref="H18">SUM(OSRRefH22x_0)</f>
        <v>41947.132430769241</v>
      </c>
      <c r="I18" s="23"/>
      <c r="J18" s="29">
        <f t="shared" ref="J18:J49" si="1">IF(H$12=0,0,H18/H$12)</f>
        <v>0</v>
      </c>
      <c r="K18" s="5"/>
      <c r="L18" s="23">
        <f t="shared" ref="L18:L49" si="2">+D18-H18</f>
        <v>1406.7375692307542</v>
      </c>
      <c r="M18" s="5"/>
      <c r="N18" s="29">
        <f t="shared" ref="N18:N49" si="3">IF(H18=0,0,L18/H18)</f>
        <v>3.353596509969959E-2</v>
      </c>
      <c r="O18" s="11"/>
      <c r="P18" s="23" cm="1">
        <f t="array" ref="P18">SUM(OSRRefP22x_0)</f>
        <v>398294.81000000006</v>
      </c>
      <c r="Q18" s="23"/>
      <c r="R18" s="29">
        <f t="shared" ref="R18:R49" si="4">IF(P$12=0,0,P18/P$12)</f>
        <v>0</v>
      </c>
      <c r="S18" s="23"/>
      <c r="T18" s="23" cm="1">
        <f t="array" ref="T18">SUM(OSRRefT22x_0)</f>
        <v>362058.65876923082</v>
      </c>
      <c r="U18" s="23"/>
      <c r="V18" s="29">
        <f t="shared" ref="V18:V49" si="5">IF(T$12=0,0,T18/T$12)</f>
        <v>0</v>
      </c>
      <c r="W18" s="5"/>
      <c r="X18" s="23">
        <f t="shared" ref="X18:X49" si="6">+P18-T18</f>
        <v>36236.151230769232</v>
      </c>
      <c r="Y18" s="5"/>
      <c r="Z18" s="29">
        <f t="shared" ref="Z18:Z49" si="7">IF(T18=0,0,X18/T18)</f>
        <v>0.10008364764413893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9460.3599999999988</v>
      </c>
      <c r="E19" s="2"/>
      <c r="F19" s="6">
        <f t="shared" si="0"/>
        <v>0</v>
      </c>
      <c r="G19" s="2"/>
      <c r="H19" s="2">
        <f>SUM(OSRRefH22_0x_0)</f>
        <v>8483.2093538461559</v>
      </c>
      <c r="I19" s="2"/>
      <c r="J19" s="6">
        <f t="shared" si="1"/>
        <v>0</v>
      </c>
      <c r="K19" s="2"/>
      <c r="L19" s="2">
        <f t="shared" si="2"/>
        <v>977.1506461538429</v>
      </c>
      <c r="M19" s="2"/>
      <c r="N19" s="6">
        <f t="shared" si="3"/>
        <v>0.11518643539202741</v>
      </c>
      <c r="O19" s="14"/>
      <c r="P19" s="2">
        <f>SUM(OSRRefP22_0x_0)</f>
        <v>86297.61</v>
      </c>
      <c r="Q19" s="2"/>
      <c r="R19" s="6">
        <f t="shared" si="4"/>
        <v>0</v>
      </c>
      <c r="S19" s="2"/>
      <c r="T19" s="2">
        <f>SUM(OSRRefT22_0x_0)</f>
        <v>71892.581846153887</v>
      </c>
      <c r="U19" s="2"/>
      <c r="V19" s="6">
        <f t="shared" si="5"/>
        <v>0</v>
      </c>
      <c r="W19" s="2"/>
      <c r="X19" s="2">
        <f t="shared" si="6"/>
        <v>14405.028153846113</v>
      </c>
      <c r="Y19" s="2"/>
      <c r="Z19" s="6">
        <f t="shared" si="7"/>
        <v>0.20036876940477766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1381.25</v>
      </c>
      <c r="E20" s="3"/>
      <c r="F20" s="7">
        <f t="shared" si="0"/>
        <v>0</v>
      </c>
      <c r="G20" s="3"/>
      <c r="H20" s="8">
        <v>1358.2308923076901</v>
      </c>
      <c r="I20" s="3"/>
      <c r="J20" s="7">
        <f t="shared" si="1"/>
        <v>0</v>
      </c>
      <c r="K20" s="3"/>
      <c r="L20" s="8">
        <f t="shared" si="2"/>
        <v>23.019107692309944</v>
      </c>
      <c r="M20" s="3"/>
      <c r="N20" s="7">
        <f t="shared" si="3"/>
        <v>1.6947860501979554E-2</v>
      </c>
      <c r="O20" s="12"/>
      <c r="P20" s="8">
        <v>11575.67</v>
      </c>
      <c r="Q20" s="3"/>
      <c r="R20" s="7">
        <f t="shared" si="4"/>
        <v>0</v>
      </c>
      <c r="S20" s="3"/>
      <c r="T20" s="8">
        <v>11884.520307692301</v>
      </c>
      <c r="U20" s="3"/>
      <c r="V20" s="7">
        <f t="shared" si="5"/>
        <v>0</v>
      </c>
      <c r="W20" s="3"/>
      <c r="X20" s="8">
        <f t="shared" si="6"/>
        <v>-308.8503076923007</v>
      </c>
      <c r="Y20" s="3"/>
      <c r="Z20" s="7">
        <f t="shared" si="7"/>
        <v>-2.5987612431643218E-2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232.92</v>
      </c>
      <c r="E21" s="3"/>
      <c r="F21" s="7">
        <f t="shared" si="0"/>
        <v>0</v>
      </c>
      <c r="G21" s="3"/>
      <c r="H21" s="8">
        <v>672.63753846153895</v>
      </c>
      <c r="I21" s="3"/>
      <c r="J21" s="7">
        <f t="shared" si="1"/>
        <v>0</v>
      </c>
      <c r="K21" s="3"/>
      <c r="L21" s="8">
        <f t="shared" si="2"/>
        <v>-439.71753846153899</v>
      </c>
      <c r="M21" s="3"/>
      <c r="N21" s="7">
        <f t="shared" si="3"/>
        <v>-0.65372137788691342</v>
      </c>
      <c r="O21" s="12"/>
      <c r="P21" s="8">
        <v>1936.92</v>
      </c>
      <c r="Q21" s="3"/>
      <c r="R21" s="7">
        <f t="shared" si="4"/>
        <v>0</v>
      </c>
      <c r="S21" s="3"/>
      <c r="T21" s="8">
        <v>5885.57846153847</v>
      </c>
      <c r="U21" s="3"/>
      <c r="V21" s="7">
        <f t="shared" si="5"/>
        <v>0</v>
      </c>
      <c r="W21" s="3"/>
      <c r="X21" s="8">
        <f t="shared" si="6"/>
        <v>-3948.65846153847</v>
      </c>
      <c r="Y21" s="3"/>
      <c r="Z21" s="7">
        <f t="shared" si="7"/>
        <v>-0.67090405596365188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3042.72</v>
      </c>
      <c r="E22" s="3"/>
      <c r="F22" s="7">
        <f t="shared" si="0"/>
        <v>0</v>
      </c>
      <c r="G22" s="3"/>
      <c r="H22" s="8">
        <v>2764</v>
      </c>
      <c r="I22" s="3"/>
      <c r="J22" s="7">
        <f t="shared" si="1"/>
        <v>0</v>
      </c>
      <c r="K22" s="3"/>
      <c r="L22" s="8">
        <f t="shared" si="2"/>
        <v>278.7199999999998</v>
      </c>
      <c r="M22" s="3"/>
      <c r="N22" s="7">
        <f t="shared" si="3"/>
        <v>0.10083936324167865</v>
      </c>
      <c r="O22" s="12"/>
      <c r="P22" s="8">
        <v>26014.35</v>
      </c>
      <c r="Q22" s="3"/>
      <c r="R22" s="7">
        <f t="shared" si="4"/>
        <v>0</v>
      </c>
      <c r="S22" s="3"/>
      <c r="T22" s="8">
        <v>22112</v>
      </c>
      <c r="U22" s="3"/>
      <c r="V22" s="7">
        <f t="shared" si="5"/>
        <v>0</v>
      </c>
      <c r="W22" s="3"/>
      <c r="X22" s="8">
        <f t="shared" si="6"/>
        <v>3902.3499999999985</v>
      </c>
      <c r="Y22" s="3"/>
      <c r="Z22" s="7">
        <f t="shared" si="7"/>
        <v>0.17648109623733713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46.94</v>
      </c>
      <c r="E23" s="3"/>
      <c r="F23" s="7">
        <f t="shared" si="0"/>
        <v>0</v>
      </c>
      <c r="G23" s="3"/>
      <c r="H23" s="8">
        <v>37.270153846153903</v>
      </c>
      <c r="I23" s="3"/>
      <c r="J23" s="7">
        <f t="shared" si="1"/>
        <v>0</v>
      </c>
      <c r="K23" s="3"/>
      <c r="L23" s="8">
        <f t="shared" si="2"/>
        <v>9.6698461538460947</v>
      </c>
      <c r="M23" s="3"/>
      <c r="N23" s="7">
        <f t="shared" si="3"/>
        <v>0.25945281025031175</v>
      </c>
      <c r="O23" s="12"/>
      <c r="P23" s="8">
        <v>390.36</v>
      </c>
      <c r="Q23" s="3"/>
      <c r="R23" s="7">
        <f t="shared" si="4"/>
        <v>0</v>
      </c>
      <c r="S23" s="3"/>
      <c r="T23" s="8">
        <v>326.11384615384702</v>
      </c>
      <c r="U23" s="3"/>
      <c r="V23" s="7">
        <f t="shared" si="5"/>
        <v>0</v>
      </c>
      <c r="W23" s="3"/>
      <c r="X23" s="8">
        <f t="shared" si="6"/>
        <v>64.246153846152993</v>
      </c>
      <c r="Y23" s="3"/>
      <c r="Z23" s="7">
        <f t="shared" si="7"/>
        <v>0.19700529310198106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1948.13</v>
      </c>
      <c r="E24" s="3"/>
      <c r="F24" s="7">
        <f t="shared" si="0"/>
        <v>0</v>
      </c>
      <c r="G24" s="3"/>
      <c r="H24" s="8">
        <v>1526.3015384615401</v>
      </c>
      <c r="I24" s="3"/>
      <c r="J24" s="7">
        <f t="shared" si="1"/>
        <v>0</v>
      </c>
      <c r="K24" s="3"/>
      <c r="L24" s="8">
        <f t="shared" si="2"/>
        <v>421.82846153846003</v>
      </c>
      <c r="M24" s="3"/>
      <c r="N24" s="7">
        <f t="shared" si="3"/>
        <v>0.27637295181111377</v>
      </c>
      <c r="O24" s="12"/>
      <c r="P24" s="8">
        <v>16221.96</v>
      </c>
      <c r="Q24" s="3"/>
      <c r="R24" s="7">
        <f t="shared" si="4"/>
        <v>0</v>
      </c>
      <c r="S24" s="3"/>
      <c r="T24" s="8">
        <v>13355.1384615385</v>
      </c>
      <c r="U24" s="3"/>
      <c r="V24" s="7">
        <f t="shared" si="5"/>
        <v>0</v>
      </c>
      <c r="W24" s="3"/>
      <c r="X24" s="8">
        <f t="shared" si="6"/>
        <v>2866.8215384614996</v>
      </c>
      <c r="Y24" s="3"/>
      <c r="Z24" s="7">
        <f t="shared" si="7"/>
        <v>0.21466056280267456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1579.7</v>
      </c>
      <c r="E26" s="3"/>
      <c r="F26" s="7">
        <f t="shared" si="0"/>
        <v>0</v>
      </c>
      <c r="G26" s="3"/>
      <c r="H26" s="8">
        <v>1648</v>
      </c>
      <c r="I26" s="3"/>
      <c r="J26" s="7">
        <f t="shared" si="1"/>
        <v>0</v>
      </c>
      <c r="K26" s="3"/>
      <c r="L26" s="8">
        <f t="shared" si="2"/>
        <v>-68.299999999999955</v>
      </c>
      <c r="M26" s="3"/>
      <c r="N26" s="7">
        <f t="shared" si="3"/>
        <v>-4.1444174757281523E-2</v>
      </c>
      <c r="O26" s="12"/>
      <c r="P26" s="8">
        <v>14819.79</v>
      </c>
      <c r="Q26" s="3"/>
      <c r="R26" s="7">
        <f t="shared" si="4"/>
        <v>0</v>
      </c>
      <c r="S26" s="3"/>
      <c r="T26" s="8">
        <v>14420</v>
      </c>
      <c r="U26" s="3"/>
      <c r="V26" s="7">
        <f t="shared" si="5"/>
        <v>0</v>
      </c>
      <c r="W26" s="3"/>
      <c r="X26" s="8">
        <f t="shared" si="6"/>
        <v>399.79000000000087</v>
      </c>
      <c r="Y26" s="3"/>
      <c r="Z26" s="7">
        <f t="shared" si="7"/>
        <v>2.7724687933425859E-2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825.9</v>
      </c>
      <c r="E27" s="3"/>
      <c r="F27" s="7">
        <f t="shared" si="0"/>
        <v>0</v>
      </c>
      <c r="G27" s="3"/>
      <c r="H27" s="8">
        <v>126.769230769231</v>
      </c>
      <c r="I27" s="3"/>
      <c r="J27" s="7">
        <f t="shared" si="1"/>
        <v>0</v>
      </c>
      <c r="K27" s="3"/>
      <c r="L27" s="8">
        <f t="shared" si="2"/>
        <v>699.13076923076892</v>
      </c>
      <c r="M27" s="3"/>
      <c r="N27" s="7">
        <f t="shared" si="3"/>
        <v>5.5149878640776571</v>
      </c>
      <c r="O27" s="12"/>
      <c r="P27" s="8">
        <v>12931.62</v>
      </c>
      <c r="Q27" s="3"/>
      <c r="R27" s="7">
        <f t="shared" si="4"/>
        <v>0</v>
      </c>
      <c r="S27" s="3"/>
      <c r="T27" s="8">
        <v>1109.23076923077</v>
      </c>
      <c r="U27" s="3"/>
      <c r="V27" s="7">
        <f t="shared" si="5"/>
        <v>0</v>
      </c>
      <c r="W27" s="3"/>
      <c r="X27" s="8">
        <f t="shared" si="6"/>
        <v>11822.389230769231</v>
      </c>
      <c r="Y27" s="3"/>
      <c r="Z27" s="7">
        <f t="shared" si="7"/>
        <v>10.658187239944516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402.8</v>
      </c>
      <c r="E28" s="3"/>
      <c r="F28" s="7">
        <f t="shared" si="0"/>
        <v>0</v>
      </c>
      <c r="G28" s="3"/>
      <c r="H28" s="8">
        <v>350</v>
      </c>
      <c r="I28" s="3"/>
      <c r="J28" s="7">
        <f t="shared" si="1"/>
        <v>0</v>
      </c>
      <c r="K28" s="3"/>
      <c r="L28" s="8">
        <f t="shared" si="2"/>
        <v>52.800000000000011</v>
      </c>
      <c r="M28" s="3"/>
      <c r="N28" s="7">
        <f t="shared" si="3"/>
        <v>0.15085714285714288</v>
      </c>
      <c r="O28" s="12"/>
      <c r="P28" s="8">
        <v>2406.94</v>
      </c>
      <c r="Q28" s="3"/>
      <c r="R28" s="7">
        <f t="shared" si="4"/>
        <v>0</v>
      </c>
      <c r="S28" s="3"/>
      <c r="T28" s="8">
        <v>2800</v>
      </c>
      <c r="U28" s="3"/>
      <c r="V28" s="7">
        <f t="shared" si="5"/>
        <v>0</v>
      </c>
      <c r="W28" s="3"/>
      <c r="X28" s="8">
        <f t="shared" si="6"/>
        <v>-393.05999999999995</v>
      </c>
      <c r="Y28" s="3"/>
      <c r="Z28" s="7">
        <f t="shared" si="7"/>
        <v>-0.14037857142857141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15731.64</v>
      </c>
      <c r="E29" s="2"/>
      <c r="F29" s="6">
        <f t="shared" si="0"/>
        <v>0</v>
      </c>
      <c r="G29" s="2"/>
      <c r="H29" s="2">
        <f>SUM(OSRRefH22_1x_0)</f>
        <v>15972.923076923082</v>
      </c>
      <c r="I29" s="2"/>
      <c r="J29" s="6">
        <f t="shared" si="1"/>
        <v>0</v>
      </c>
      <c r="K29" s="2"/>
      <c r="L29" s="2">
        <f t="shared" si="2"/>
        <v>-241.28307692308226</v>
      </c>
      <c r="M29" s="2"/>
      <c r="N29" s="6">
        <f t="shared" si="3"/>
        <v>-1.5105755894591176E-2</v>
      </c>
      <c r="O29" s="14"/>
      <c r="P29" s="2">
        <f>SUM(OSRRefP22_1x_0)</f>
        <v>141642.74000000002</v>
      </c>
      <c r="Q29" s="2"/>
      <c r="R29" s="6">
        <f t="shared" si="4"/>
        <v>0</v>
      </c>
      <c r="S29" s="2"/>
      <c r="T29" s="2">
        <f>SUM(OSRRefT22_1x_0)</f>
        <v>139763.07692307691</v>
      </c>
      <c r="U29" s="2"/>
      <c r="V29" s="6">
        <f t="shared" si="5"/>
        <v>0</v>
      </c>
      <c r="W29" s="2"/>
      <c r="X29" s="2">
        <f t="shared" si="6"/>
        <v>1879.6630769231124</v>
      </c>
      <c r="Y29" s="2"/>
      <c r="Z29" s="6">
        <f t="shared" si="7"/>
        <v>1.3448924553640482E-2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8">
        <v>10936.46</v>
      </c>
      <c r="E30" s="3"/>
      <c r="F30" s="7">
        <f t="shared" si="0"/>
        <v>0</v>
      </c>
      <c r="G30" s="3"/>
      <c r="H30" s="8">
        <v>10268.307692307701</v>
      </c>
      <c r="I30" s="3"/>
      <c r="J30" s="7">
        <f t="shared" si="1"/>
        <v>0</v>
      </c>
      <c r="K30" s="3"/>
      <c r="L30" s="8">
        <f t="shared" si="2"/>
        <v>668.15230769229856</v>
      </c>
      <c r="M30" s="3"/>
      <c r="N30" s="7">
        <f t="shared" si="3"/>
        <v>6.5069369531342694E-2</v>
      </c>
      <c r="O30" s="12"/>
      <c r="P30" s="8">
        <v>89196.29</v>
      </c>
      <c r="Q30" s="3"/>
      <c r="R30" s="7">
        <f t="shared" si="4"/>
        <v>0</v>
      </c>
      <c r="S30" s="3"/>
      <c r="T30" s="8">
        <v>89847.692307692298</v>
      </c>
      <c r="U30" s="3"/>
      <c r="V30" s="7">
        <f t="shared" si="5"/>
        <v>0</v>
      </c>
      <c r="W30" s="3"/>
      <c r="X30" s="8">
        <f t="shared" si="6"/>
        <v>-651.40230769230402</v>
      </c>
      <c r="Y30" s="3"/>
      <c r="Z30" s="7">
        <f t="shared" si="7"/>
        <v>-7.2500727727264546E-3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8">
        <v>4795.18</v>
      </c>
      <c r="E31" s="3"/>
      <c r="F31" s="7">
        <f t="shared" si="0"/>
        <v>0</v>
      </c>
      <c r="G31" s="3"/>
      <c r="H31" s="8">
        <v>5704.6153846153802</v>
      </c>
      <c r="I31" s="3"/>
      <c r="J31" s="7">
        <f t="shared" si="1"/>
        <v>0</v>
      </c>
      <c r="K31" s="3"/>
      <c r="L31" s="8">
        <f t="shared" si="2"/>
        <v>-909.43538461537992</v>
      </c>
      <c r="M31" s="3"/>
      <c r="N31" s="7">
        <f t="shared" si="3"/>
        <v>-0.15942098166127222</v>
      </c>
      <c r="O31" s="12"/>
      <c r="P31" s="8">
        <v>49439.21</v>
      </c>
      <c r="Q31" s="3"/>
      <c r="R31" s="7">
        <f t="shared" si="4"/>
        <v>0</v>
      </c>
      <c r="S31" s="3"/>
      <c r="T31" s="8">
        <v>49915.384615384603</v>
      </c>
      <c r="U31" s="3"/>
      <c r="V31" s="7">
        <f t="shared" si="5"/>
        <v>0</v>
      </c>
      <c r="W31" s="3"/>
      <c r="X31" s="8">
        <f t="shared" si="6"/>
        <v>-476.17461538460338</v>
      </c>
      <c r="Y31" s="3"/>
      <c r="Z31" s="7">
        <f t="shared" si="7"/>
        <v>-9.5396363075972348E-3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1380.76</v>
      </c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1380.76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>
        <v>1626.48</v>
      </c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1626.48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0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SUM(OSRRefD22_2x_0)</f>
        <v>177.96</v>
      </c>
      <c r="E40" s="2"/>
      <c r="F40" s="6">
        <f t="shared" si="0"/>
        <v>0</v>
      </c>
      <c r="G40" s="2"/>
      <c r="H40" s="2">
        <f>SUM(OSRRefH22_2x_0)</f>
        <v>839</v>
      </c>
      <c r="I40" s="2"/>
      <c r="J40" s="6">
        <f t="shared" si="1"/>
        <v>0</v>
      </c>
      <c r="K40" s="2"/>
      <c r="L40" s="2">
        <f t="shared" si="2"/>
        <v>-661.04</v>
      </c>
      <c r="M40" s="2"/>
      <c r="N40" s="6">
        <f t="shared" si="3"/>
        <v>-0.78789034564958282</v>
      </c>
      <c r="O40" s="14"/>
      <c r="P40" s="2">
        <f>SUM(OSRRefP22_2x_0)</f>
        <v>1762.31</v>
      </c>
      <c r="Q40" s="2"/>
      <c r="R40" s="6">
        <f t="shared" si="4"/>
        <v>0</v>
      </c>
      <c r="S40" s="2"/>
      <c r="T40" s="2">
        <f>SUM(OSRRefT22_2x_0)</f>
        <v>6712</v>
      </c>
      <c r="U40" s="2"/>
      <c r="V40" s="6">
        <f t="shared" si="5"/>
        <v>0</v>
      </c>
      <c r="W40" s="2"/>
      <c r="X40" s="2">
        <f t="shared" si="6"/>
        <v>-4949.6900000000005</v>
      </c>
      <c r="Y40" s="2"/>
      <c r="Z40" s="6">
        <f t="shared" si="7"/>
        <v>-0.73743891537544703</v>
      </c>
    </row>
    <row r="41" spans="1:26" s="70" customFormat="1" ht="15" hidden="1" customHeight="1" outlineLevel="2" x14ac:dyDescent="0.3">
      <c r="A41" s="26"/>
      <c r="B41" s="12" t="str">
        <f>CONCATENATE("          ","6381"," - ","BANK/CREDIT CARD FEES")</f>
        <v xml:space="preserve">          6381 - BANK/CREDIT CARD FEES</v>
      </c>
      <c r="C41" s="12"/>
      <c r="D41" s="8">
        <v>177.96</v>
      </c>
      <c r="E41" s="3"/>
      <c r="F41" s="7">
        <f t="shared" si="0"/>
        <v>0</v>
      </c>
      <c r="G41" s="3"/>
      <c r="H41" s="8">
        <v>839</v>
      </c>
      <c r="I41" s="3"/>
      <c r="J41" s="7">
        <f t="shared" si="1"/>
        <v>0</v>
      </c>
      <c r="K41" s="3"/>
      <c r="L41" s="8">
        <f t="shared" si="2"/>
        <v>-661.04</v>
      </c>
      <c r="M41" s="3"/>
      <c r="N41" s="7">
        <f t="shared" si="3"/>
        <v>-0.78789034564958282</v>
      </c>
      <c r="O41" s="12"/>
      <c r="P41" s="8">
        <v>1762.31</v>
      </c>
      <c r="Q41" s="3"/>
      <c r="R41" s="7">
        <f t="shared" si="4"/>
        <v>0</v>
      </c>
      <c r="S41" s="3"/>
      <c r="T41" s="8">
        <v>6712</v>
      </c>
      <c r="U41" s="3"/>
      <c r="V41" s="7">
        <f t="shared" si="5"/>
        <v>0</v>
      </c>
      <c r="W41" s="3"/>
      <c r="X41" s="8">
        <f t="shared" si="6"/>
        <v>-4949.6900000000005</v>
      </c>
      <c r="Y41" s="3"/>
      <c r="Z41" s="7">
        <f t="shared" si="7"/>
        <v>-0.73743891537544703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5331.53</v>
      </c>
      <c r="E42" s="2"/>
      <c r="F42" s="6">
        <f t="shared" si="0"/>
        <v>0</v>
      </c>
      <c r="G42" s="2"/>
      <c r="H42" s="2">
        <f>SUM(OSRRefH22_3x_0)</f>
        <v>5332</v>
      </c>
      <c r="I42" s="2"/>
      <c r="J42" s="6">
        <f t="shared" si="1"/>
        <v>0</v>
      </c>
      <c r="K42" s="2"/>
      <c r="L42" s="2">
        <f t="shared" si="2"/>
        <v>-0.47000000000025466</v>
      </c>
      <c r="M42" s="2"/>
      <c r="N42" s="6">
        <f t="shared" si="3"/>
        <v>-8.8147036759237562E-5</v>
      </c>
      <c r="O42" s="14"/>
      <c r="P42" s="2">
        <f>SUM(OSRRefP22_3x_0)</f>
        <v>42652.24</v>
      </c>
      <c r="Q42" s="2"/>
      <c r="R42" s="6">
        <f t="shared" si="4"/>
        <v>0</v>
      </c>
      <c r="S42" s="2"/>
      <c r="T42" s="2">
        <f>SUM(OSRRefT22_3x_0)</f>
        <v>42656</v>
      </c>
      <c r="U42" s="2"/>
      <c r="V42" s="6">
        <f t="shared" si="5"/>
        <v>0</v>
      </c>
      <c r="W42" s="2"/>
      <c r="X42" s="2">
        <f t="shared" si="6"/>
        <v>-3.7600000000020373</v>
      </c>
      <c r="Y42" s="2"/>
      <c r="Z42" s="6">
        <f t="shared" si="7"/>
        <v>-8.8147036759237562E-5</v>
      </c>
    </row>
    <row r="43" spans="1:26" s="70" customFormat="1" ht="15" hidden="1" customHeight="1" outlineLevel="2" x14ac:dyDescent="0.3">
      <c r="A43" s="26"/>
      <c r="B43" s="12" t="str">
        <f>CONCATENATE("          ","6321"," - ","BUILDING DEPRECIATION")</f>
        <v xml:space="preserve">          6321 - BUILDING DEPRECIATION</v>
      </c>
      <c r="C43" s="12"/>
      <c r="D43" s="8">
        <v>1822.68</v>
      </c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1822.68</v>
      </c>
      <c r="M43" s="3"/>
      <c r="N43" s="7">
        <f t="shared" si="3"/>
        <v>0</v>
      </c>
      <c r="O43" s="12"/>
      <c r="P43" s="8">
        <v>14581.44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14581.44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","6322"," - ","EQUIPMENT DEPRECIATION EXPENSE")</f>
        <v xml:space="preserve">          6322 - EQUIPMENT DEPRECIATION EXPENSE</v>
      </c>
      <c r="C44" s="12"/>
      <c r="D44" s="8">
        <v>3508.85</v>
      </c>
      <c r="E44" s="3"/>
      <c r="F44" s="7">
        <f t="shared" si="0"/>
        <v>0</v>
      </c>
      <c r="G44" s="3"/>
      <c r="H44" s="8">
        <v>5332</v>
      </c>
      <c r="I44" s="3"/>
      <c r="J44" s="7">
        <f t="shared" si="1"/>
        <v>0</v>
      </c>
      <c r="K44" s="3"/>
      <c r="L44" s="8">
        <f t="shared" si="2"/>
        <v>-1823.15</v>
      </c>
      <c r="M44" s="3"/>
      <c r="N44" s="7">
        <f t="shared" si="3"/>
        <v>-0.34192610652663169</v>
      </c>
      <c r="O44" s="12"/>
      <c r="P44" s="8">
        <v>28070.799999999999</v>
      </c>
      <c r="Q44" s="3"/>
      <c r="R44" s="7">
        <f t="shared" si="4"/>
        <v>0</v>
      </c>
      <c r="S44" s="3"/>
      <c r="T44" s="8">
        <v>42656</v>
      </c>
      <c r="U44" s="3"/>
      <c r="V44" s="7">
        <f t="shared" si="5"/>
        <v>0</v>
      </c>
      <c r="W44" s="3"/>
      <c r="X44" s="8">
        <f t="shared" si="6"/>
        <v>-14585.2</v>
      </c>
      <c r="Y44" s="3"/>
      <c r="Z44" s="7">
        <f t="shared" si="7"/>
        <v>-0.34192610652663169</v>
      </c>
    </row>
    <row r="45" spans="1:26" s="69" customFormat="1" ht="15" customHeight="1" outlineLevel="1" collapsed="1" x14ac:dyDescent="0.3">
      <c r="A45" s="25"/>
      <c r="B45" s="14" t="str">
        <f>CONCATENATE("     ","Employees' Appreciation                           ")</f>
        <v xml:space="preserve">     Employees' Appreciation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SUM(OSRRefP22_4x_0)</f>
        <v>18</v>
      </c>
      <c r="Q45" s="2"/>
      <c r="R45" s="6">
        <f t="shared" si="4"/>
        <v>0</v>
      </c>
      <c r="S45" s="2"/>
      <c r="T45" s="2">
        <f>SUM(OSRRefT22_4x_0)</f>
        <v>0</v>
      </c>
      <c r="U45" s="2"/>
      <c r="V45" s="6">
        <f t="shared" si="5"/>
        <v>0</v>
      </c>
      <c r="W45" s="2"/>
      <c r="X45" s="2">
        <f t="shared" si="6"/>
        <v>18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","6277"," - ","EMPLOYEE APPRECIATION")</f>
        <v xml:space="preserve">          6277 - EMPLOYEE APPRECIATION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18</v>
      </c>
      <c r="Q46" s="3"/>
      <c r="R46" s="7">
        <f t="shared" si="4"/>
        <v>0</v>
      </c>
      <c r="S46" s="3"/>
      <c r="T46" s="8"/>
      <c r="U46" s="3"/>
      <c r="V46" s="7">
        <f t="shared" si="5"/>
        <v>0</v>
      </c>
      <c r="W46" s="3"/>
      <c r="X46" s="8">
        <f t="shared" si="6"/>
        <v>18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","Equipment Rental                                  ")</f>
        <v xml:space="preserve">     Equipment Rental                                  </v>
      </c>
      <c r="C47" s="14"/>
      <c r="D47" s="2">
        <f>SUM(OSRRefD22_5x_0)</f>
        <v>91.26</v>
      </c>
      <c r="E47" s="2"/>
      <c r="F47" s="6">
        <f t="shared" si="0"/>
        <v>0</v>
      </c>
      <c r="G47" s="2"/>
      <c r="H47" s="2">
        <f>SUM(OSRRefH22_5x_0)</f>
        <v>300</v>
      </c>
      <c r="I47" s="2"/>
      <c r="J47" s="6">
        <f t="shared" si="1"/>
        <v>0</v>
      </c>
      <c r="K47" s="2"/>
      <c r="L47" s="2">
        <f t="shared" si="2"/>
        <v>-208.74</v>
      </c>
      <c r="M47" s="2"/>
      <c r="N47" s="6">
        <f t="shared" si="3"/>
        <v>-0.69580000000000009</v>
      </c>
      <c r="O47" s="14"/>
      <c r="P47" s="2">
        <f>SUM(OSRRefP22_5x_0)</f>
        <v>638.82000000000005</v>
      </c>
      <c r="Q47" s="2"/>
      <c r="R47" s="6">
        <f t="shared" si="4"/>
        <v>0</v>
      </c>
      <c r="S47" s="2"/>
      <c r="T47" s="2">
        <f>SUM(OSRRefT22_5x_0)</f>
        <v>2400</v>
      </c>
      <c r="U47" s="2"/>
      <c r="V47" s="6">
        <f t="shared" si="5"/>
        <v>0</v>
      </c>
      <c r="W47" s="2"/>
      <c r="X47" s="2">
        <f t="shared" si="6"/>
        <v>-1761.1799999999998</v>
      </c>
      <c r="Y47" s="2"/>
      <c r="Z47" s="6">
        <f t="shared" si="7"/>
        <v>-0.73382499999999995</v>
      </c>
    </row>
    <row r="48" spans="1:26" s="70" customFormat="1" ht="15" hidden="1" customHeight="1" outlineLevel="2" x14ac:dyDescent="0.3">
      <c r="A48" s="26"/>
      <c r="B48" s="12" t="str">
        <f>CONCATENATE("          ","6351"," - ","EQUIPMENT RENTAL")</f>
        <v xml:space="preserve">          6351 - EQUIPMENT RENTAL</v>
      </c>
      <c r="C48" s="12"/>
      <c r="D48" s="8">
        <v>91.26</v>
      </c>
      <c r="E48" s="3"/>
      <c r="F48" s="7">
        <f t="shared" si="0"/>
        <v>0</v>
      </c>
      <c r="G48" s="3"/>
      <c r="H48" s="8">
        <v>300</v>
      </c>
      <c r="I48" s="3"/>
      <c r="J48" s="7">
        <f t="shared" si="1"/>
        <v>0</v>
      </c>
      <c r="K48" s="3"/>
      <c r="L48" s="8">
        <f t="shared" si="2"/>
        <v>-208.74</v>
      </c>
      <c r="M48" s="3"/>
      <c r="N48" s="7">
        <f t="shared" si="3"/>
        <v>-0.69580000000000009</v>
      </c>
      <c r="O48" s="12"/>
      <c r="P48" s="8">
        <v>638.82000000000005</v>
      </c>
      <c r="Q48" s="3"/>
      <c r="R48" s="7">
        <f t="shared" si="4"/>
        <v>0</v>
      </c>
      <c r="S48" s="3"/>
      <c r="T48" s="8">
        <v>2400</v>
      </c>
      <c r="U48" s="3"/>
      <c r="V48" s="7">
        <f t="shared" si="5"/>
        <v>0</v>
      </c>
      <c r="W48" s="3"/>
      <c r="X48" s="8">
        <f t="shared" si="6"/>
        <v>-1761.1799999999998</v>
      </c>
      <c r="Y48" s="3"/>
      <c r="Z48" s="7">
        <f t="shared" si="7"/>
        <v>-0.73382499999999995</v>
      </c>
    </row>
    <row r="49" spans="1:26" s="69" customFormat="1" ht="15" customHeight="1" outlineLevel="1" collapsed="1" x14ac:dyDescent="0.3">
      <c r="A49" s="25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0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0</v>
      </c>
      <c r="M49" s="2"/>
      <c r="N49" s="6">
        <f t="shared" si="3"/>
        <v>0</v>
      </c>
      <c r="O49" s="14"/>
      <c r="P49" s="2">
        <f>SUM(OSRRefP22_6x_0)</f>
        <v>122.51</v>
      </c>
      <c r="Q49" s="2"/>
      <c r="R49" s="6">
        <f t="shared" si="4"/>
        <v>0</v>
      </c>
      <c r="S49" s="2"/>
      <c r="T49" s="2">
        <f>SUM(OSRRefT22_6x_0)</f>
        <v>1000</v>
      </c>
      <c r="U49" s="2"/>
      <c r="V49" s="6">
        <f t="shared" si="5"/>
        <v>0</v>
      </c>
      <c r="W49" s="2"/>
      <c r="X49" s="2">
        <f t="shared" si="6"/>
        <v>-877.49</v>
      </c>
      <c r="Y49" s="2"/>
      <c r="Z49" s="6">
        <f t="shared" si="7"/>
        <v>-0.87748999999999999</v>
      </c>
    </row>
    <row r="50" spans="1:26" s="70" customFormat="1" ht="15" hidden="1" customHeight="1" outlineLevel="2" x14ac:dyDescent="0.3">
      <c r="A50" s="26"/>
      <c r="B50" s="12" t="str">
        <f>CONCATENATE("          ","6279"," - ","GENERAL EXPENSE")</f>
        <v xml:space="preserve">          6279 - GENERAL EXPENSE</v>
      </c>
      <c r="C50" s="12"/>
      <c r="D50" s="8"/>
      <c r="E50" s="3"/>
      <c r="F50" s="7">
        <f t="shared" ref="F50:F73" si="8">IF(D$12=0,0,D50/D$12)</f>
        <v>0</v>
      </c>
      <c r="G50" s="3"/>
      <c r="H50" s="8"/>
      <c r="I50" s="3"/>
      <c r="J50" s="7">
        <f t="shared" ref="J50:J73" si="9">IF(H$12=0,0,H50/H$12)</f>
        <v>0</v>
      </c>
      <c r="K50" s="3"/>
      <c r="L50" s="8">
        <f t="shared" ref="L50:L73" si="10">+D50-H50</f>
        <v>0</v>
      </c>
      <c r="M50" s="3"/>
      <c r="N50" s="7">
        <f t="shared" ref="N50:N73" si="11">IF(H50=0,0,L50/H50)</f>
        <v>0</v>
      </c>
      <c r="O50" s="12"/>
      <c r="P50" s="8">
        <v>122.51</v>
      </c>
      <c r="Q50" s="3"/>
      <c r="R50" s="7">
        <f t="shared" ref="R50:R73" si="12">IF(P$12=0,0,P50/P$12)</f>
        <v>0</v>
      </c>
      <c r="S50" s="3"/>
      <c r="T50" s="8">
        <v>1000</v>
      </c>
      <c r="U50" s="3"/>
      <c r="V50" s="7">
        <f t="shared" ref="V50:V73" si="13">IF(T$12=0,0,T50/T$12)</f>
        <v>0</v>
      </c>
      <c r="W50" s="3"/>
      <c r="X50" s="8">
        <f t="shared" ref="X50:X73" si="14">+P50-T50</f>
        <v>-877.49</v>
      </c>
      <c r="Y50" s="3"/>
      <c r="Z50" s="7">
        <f t="shared" ref="Z50:Z73" si="15">IF(T50=0,0,X50/T50)</f>
        <v>-0.87748999999999999</v>
      </c>
    </row>
    <row r="51" spans="1:26" s="69" customFormat="1" ht="15" customHeight="1" outlineLevel="1" collapsed="1" x14ac:dyDescent="0.3">
      <c r="A51" s="25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4884.6000000000004</v>
      </c>
      <c r="E51" s="2"/>
      <c r="F51" s="6">
        <f t="shared" si="8"/>
        <v>0</v>
      </c>
      <c r="G51" s="2"/>
      <c r="H51" s="2">
        <f>SUM(OSRRefH22_7x_0)</f>
        <v>4820</v>
      </c>
      <c r="I51" s="2"/>
      <c r="J51" s="6">
        <f t="shared" si="9"/>
        <v>0</v>
      </c>
      <c r="K51" s="2"/>
      <c r="L51" s="2">
        <f t="shared" si="10"/>
        <v>64.600000000000364</v>
      </c>
      <c r="M51" s="2"/>
      <c r="N51" s="6">
        <f t="shared" si="11"/>
        <v>1.3402489626556092E-2</v>
      </c>
      <c r="O51" s="14"/>
      <c r="P51" s="2">
        <f>SUM(OSRRefP22_7x_0)</f>
        <v>45959.8</v>
      </c>
      <c r="Q51" s="2"/>
      <c r="R51" s="6">
        <f t="shared" si="12"/>
        <v>0</v>
      </c>
      <c r="S51" s="2"/>
      <c r="T51" s="2">
        <f>SUM(OSRRefT22_7x_0)</f>
        <v>38560</v>
      </c>
      <c r="U51" s="2"/>
      <c r="V51" s="6">
        <f t="shared" si="13"/>
        <v>0</v>
      </c>
      <c r="W51" s="2"/>
      <c r="X51" s="2">
        <f t="shared" si="14"/>
        <v>7399.8000000000029</v>
      </c>
      <c r="Y51" s="2"/>
      <c r="Z51" s="6">
        <f t="shared" si="15"/>
        <v>0.19190352697095442</v>
      </c>
    </row>
    <row r="52" spans="1:26" s="70" customFormat="1" ht="15" hidden="1" customHeight="1" outlineLevel="2" x14ac:dyDescent="0.3">
      <c r="A52" s="26"/>
      <c r="B52" s="12" t="str">
        <f>CONCATENATE("          ","6314"," - ","LIABILITY INSURANCE")</f>
        <v xml:space="preserve">          6314 - LIABILITY INSURANCE</v>
      </c>
      <c r="C52" s="12"/>
      <c r="D52" s="8">
        <v>4884.6000000000004</v>
      </c>
      <c r="E52" s="3"/>
      <c r="F52" s="7">
        <f t="shared" si="8"/>
        <v>0</v>
      </c>
      <c r="G52" s="3"/>
      <c r="H52" s="8">
        <v>4820</v>
      </c>
      <c r="I52" s="3"/>
      <c r="J52" s="7">
        <f t="shared" si="9"/>
        <v>0</v>
      </c>
      <c r="K52" s="3"/>
      <c r="L52" s="8">
        <f t="shared" si="10"/>
        <v>64.600000000000364</v>
      </c>
      <c r="M52" s="3"/>
      <c r="N52" s="7">
        <f t="shared" si="11"/>
        <v>1.3402489626556092E-2</v>
      </c>
      <c r="O52" s="12"/>
      <c r="P52" s="8">
        <v>45959.8</v>
      </c>
      <c r="Q52" s="3"/>
      <c r="R52" s="7">
        <f t="shared" si="12"/>
        <v>0</v>
      </c>
      <c r="S52" s="3"/>
      <c r="T52" s="8">
        <v>38560</v>
      </c>
      <c r="U52" s="3"/>
      <c r="V52" s="7">
        <f t="shared" si="13"/>
        <v>0</v>
      </c>
      <c r="W52" s="3"/>
      <c r="X52" s="8">
        <f t="shared" si="14"/>
        <v>7399.8000000000029</v>
      </c>
      <c r="Y52" s="3"/>
      <c r="Z52" s="7">
        <f t="shared" si="15"/>
        <v>0.19190352697095442</v>
      </c>
    </row>
    <row r="53" spans="1:26" s="69" customFormat="1" ht="15" customHeight="1" outlineLevel="1" collapsed="1" x14ac:dyDescent="0.3">
      <c r="A53" s="25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SUM(OSRRefD22_8x_0)</f>
        <v>1138.8399999999999</v>
      </c>
      <c r="E53" s="2"/>
      <c r="F53" s="6">
        <f t="shared" si="8"/>
        <v>0</v>
      </c>
      <c r="G53" s="2"/>
      <c r="H53" s="2">
        <f>SUM(OSRRefH22_8x_0)</f>
        <v>0</v>
      </c>
      <c r="I53" s="2"/>
      <c r="J53" s="6">
        <f t="shared" si="9"/>
        <v>0</v>
      </c>
      <c r="K53" s="2"/>
      <c r="L53" s="2">
        <f t="shared" si="10"/>
        <v>1138.8399999999999</v>
      </c>
      <c r="M53" s="2"/>
      <c r="N53" s="6">
        <f t="shared" si="11"/>
        <v>0</v>
      </c>
      <c r="O53" s="14"/>
      <c r="P53" s="2">
        <f>SUM(OSRRefP22_8x_0)</f>
        <v>23591.33</v>
      </c>
      <c r="Q53" s="2"/>
      <c r="R53" s="6">
        <f t="shared" si="12"/>
        <v>0</v>
      </c>
      <c r="S53" s="2"/>
      <c r="T53" s="2">
        <f>SUM(OSRRefT22_8x_0)</f>
        <v>8000</v>
      </c>
      <c r="U53" s="2"/>
      <c r="V53" s="6">
        <f t="shared" si="13"/>
        <v>0</v>
      </c>
      <c r="W53" s="2"/>
      <c r="X53" s="2">
        <f t="shared" si="14"/>
        <v>15591.330000000002</v>
      </c>
      <c r="Y53" s="2"/>
      <c r="Z53" s="6">
        <f t="shared" si="15"/>
        <v>1.9489162500000001</v>
      </c>
    </row>
    <row r="54" spans="1:26" s="70" customFormat="1" ht="15" hidden="1" customHeight="1" outlineLevel="2" x14ac:dyDescent="0.3">
      <c r="A54" s="26"/>
      <c r="B54" s="12" t="str">
        <f>CONCATENATE("          ","6371"," - ","COMPUTER SOFTWARE MAINTENANCE")</f>
        <v xml:space="preserve">          6371 - COMPUTER SOFTWARE MAINTENANCE</v>
      </c>
      <c r="C54" s="12"/>
      <c r="D54" s="8"/>
      <c r="E54" s="3"/>
      <c r="F54" s="7">
        <f t="shared" si="8"/>
        <v>0</v>
      </c>
      <c r="G54" s="3"/>
      <c r="H54" s="8"/>
      <c r="I54" s="3"/>
      <c r="J54" s="7">
        <f t="shared" si="9"/>
        <v>0</v>
      </c>
      <c r="K54" s="3"/>
      <c r="L54" s="8">
        <f t="shared" si="10"/>
        <v>0</v>
      </c>
      <c r="M54" s="3"/>
      <c r="N54" s="7">
        <f t="shared" si="11"/>
        <v>0</v>
      </c>
      <c r="O54" s="12"/>
      <c r="P54" s="8">
        <v>6817.17</v>
      </c>
      <c r="Q54" s="3"/>
      <c r="R54" s="7">
        <f t="shared" si="12"/>
        <v>0</v>
      </c>
      <c r="S54" s="3"/>
      <c r="T54" s="8"/>
      <c r="U54" s="3"/>
      <c r="V54" s="7">
        <f t="shared" si="13"/>
        <v>0</v>
      </c>
      <c r="W54" s="3"/>
      <c r="X54" s="8">
        <f t="shared" si="14"/>
        <v>6817.17</v>
      </c>
      <c r="Y54" s="3"/>
      <c r="Z54" s="7">
        <f t="shared" si="15"/>
        <v>0</v>
      </c>
    </row>
    <row r="55" spans="1:26" s="70" customFormat="1" ht="15" hidden="1" customHeight="1" outlineLevel="2" x14ac:dyDescent="0.3">
      <c r="A55" s="26"/>
      <c r="B55" s="12" t="str">
        <f>CONCATENATE("          ","6372"," - ","COMPUTER HARDWARE MAINTENANCE")</f>
        <v xml:space="preserve">          6372 - COMPUTER HARDWARE MAINTENANCE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/>
      <c r="Q55" s="3"/>
      <c r="R55" s="7">
        <f t="shared" si="12"/>
        <v>0</v>
      </c>
      <c r="S55" s="3"/>
      <c r="T55" s="8">
        <v>8000</v>
      </c>
      <c r="U55" s="3"/>
      <c r="V55" s="7">
        <f t="shared" si="13"/>
        <v>0</v>
      </c>
      <c r="W55" s="3"/>
      <c r="X55" s="8">
        <f t="shared" si="14"/>
        <v>-8000</v>
      </c>
      <c r="Y55" s="3"/>
      <c r="Z55" s="7">
        <f t="shared" si="15"/>
        <v>-1</v>
      </c>
    </row>
    <row r="56" spans="1:26" s="70" customFormat="1" ht="15" hidden="1" customHeight="1" outlineLevel="2" x14ac:dyDescent="0.3">
      <c r="A56" s="26"/>
      <c r="B56" s="12" t="str">
        <f>CONCATENATE("          ","6373"," - ","MAINTENANCE CONTRACTS")</f>
        <v xml:space="preserve">          6373 - MAINTENANCE CONTRACTS</v>
      </c>
      <c r="C56" s="12"/>
      <c r="D56" s="8">
        <v>538.66999999999996</v>
      </c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538.66999999999996</v>
      </c>
      <c r="M56" s="3"/>
      <c r="N56" s="7">
        <f t="shared" si="11"/>
        <v>0</v>
      </c>
      <c r="O56" s="12"/>
      <c r="P56" s="8">
        <v>7252.63</v>
      </c>
      <c r="Q56" s="3"/>
      <c r="R56" s="7">
        <f t="shared" si="12"/>
        <v>0</v>
      </c>
      <c r="S56" s="3"/>
      <c r="T56" s="8"/>
      <c r="U56" s="3"/>
      <c r="V56" s="7">
        <f t="shared" si="13"/>
        <v>0</v>
      </c>
      <c r="W56" s="3"/>
      <c r="X56" s="8">
        <f t="shared" si="14"/>
        <v>7252.63</v>
      </c>
      <c r="Y56" s="3"/>
      <c r="Z56" s="7">
        <f t="shared" si="15"/>
        <v>0</v>
      </c>
    </row>
    <row r="57" spans="1:26" s="70" customFormat="1" ht="15" hidden="1" customHeight="1" outlineLevel="2" x14ac:dyDescent="0.3">
      <c r="A57" s="26"/>
      <c r="B57" s="12" t="str">
        <f>CONCATENATE("          ","6375"," - ","OUTSIDE REPAIRS &amp; MAINTENANCE")</f>
        <v xml:space="preserve">          6375 - OUTSIDE REPAIRS &amp; MAINTENANCE</v>
      </c>
      <c r="C57" s="12"/>
      <c r="D57" s="8">
        <v>600.16999999999996</v>
      </c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600.16999999999996</v>
      </c>
      <c r="M57" s="3"/>
      <c r="N57" s="7">
        <f t="shared" si="11"/>
        <v>0</v>
      </c>
      <c r="O57" s="12"/>
      <c r="P57" s="8">
        <v>9521.5300000000007</v>
      </c>
      <c r="Q57" s="3"/>
      <c r="R57" s="7">
        <f t="shared" si="12"/>
        <v>0</v>
      </c>
      <c r="S57" s="3"/>
      <c r="T57" s="8"/>
      <c r="U57" s="3"/>
      <c r="V57" s="7">
        <f t="shared" si="13"/>
        <v>0</v>
      </c>
      <c r="W57" s="3"/>
      <c r="X57" s="8">
        <f t="shared" si="14"/>
        <v>9521.5300000000007</v>
      </c>
      <c r="Y57" s="3"/>
      <c r="Z57" s="7">
        <f t="shared" si="15"/>
        <v>0</v>
      </c>
    </row>
    <row r="58" spans="1:26" s="69" customFormat="1" ht="15" customHeight="1" outlineLevel="1" collapsed="1" x14ac:dyDescent="0.3">
      <c r="A58" s="25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SUM(OSRRefD22_9x_0)</f>
        <v>670.1</v>
      </c>
      <c r="E58" s="2"/>
      <c r="F58" s="6">
        <f t="shared" si="8"/>
        <v>0</v>
      </c>
      <c r="G58" s="2"/>
      <c r="H58" s="2">
        <f>SUM(OSRRefH22_9x_0)</f>
        <v>650</v>
      </c>
      <c r="I58" s="2"/>
      <c r="J58" s="6">
        <f t="shared" si="9"/>
        <v>0</v>
      </c>
      <c r="K58" s="2"/>
      <c r="L58" s="2">
        <f t="shared" si="10"/>
        <v>20.100000000000023</v>
      </c>
      <c r="M58" s="2"/>
      <c r="N58" s="6">
        <f t="shared" si="11"/>
        <v>3.0923076923076959E-2</v>
      </c>
      <c r="O58" s="14"/>
      <c r="P58" s="2">
        <f>SUM(OSRRefP22_9x_0)</f>
        <v>9035.1200000000008</v>
      </c>
      <c r="Q58" s="2"/>
      <c r="R58" s="6">
        <f t="shared" si="12"/>
        <v>0</v>
      </c>
      <c r="S58" s="2"/>
      <c r="T58" s="2">
        <f>SUM(OSRRefT22_9x_0)</f>
        <v>6075</v>
      </c>
      <c r="U58" s="2"/>
      <c r="V58" s="6">
        <f t="shared" si="13"/>
        <v>0</v>
      </c>
      <c r="W58" s="2"/>
      <c r="X58" s="2">
        <f t="shared" si="14"/>
        <v>2960.1200000000008</v>
      </c>
      <c r="Y58" s="2"/>
      <c r="Z58" s="6">
        <f t="shared" si="15"/>
        <v>0.48726255144032937</v>
      </c>
    </row>
    <row r="59" spans="1:26" s="70" customFormat="1" ht="15" hidden="1" customHeight="1" outlineLevel="2" x14ac:dyDescent="0.3">
      <c r="A59" s="26"/>
      <c r="B59" s="12" t="str">
        <f>CONCATENATE("          ","6282"," - ","JANITORIAL/EXTERMINATOR EXPENS")</f>
        <v xml:space="preserve">          6282 - JANITORIAL/EXTERMINATOR EXPENS</v>
      </c>
      <c r="C59" s="12"/>
      <c r="D59" s="8">
        <v>670.1</v>
      </c>
      <c r="E59" s="3"/>
      <c r="F59" s="7">
        <f t="shared" si="8"/>
        <v>0</v>
      </c>
      <c r="G59" s="3"/>
      <c r="H59" s="8">
        <v>650</v>
      </c>
      <c r="I59" s="3"/>
      <c r="J59" s="7">
        <f t="shared" si="9"/>
        <v>0</v>
      </c>
      <c r="K59" s="3"/>
      <c r="L59" s="8">
        <f t="shared" si="10"/>
        <v>20.100000000000023</v>
      </c>
      <c r="M59" s="3"/>
      <c r="N59" s="7">
        <f t="shared" si="11"/>
        <v>3.0923076923076959E-2</v>
      </c>
      <c r="O59" s="12"/>
      <c r="P59" s="8">
        <v>5360.8</v>
      </c>
      <c r="Q59" s="3"/>
      <c r="R59" s="7">
        <f t="shared" si="12"/>
        <v>0</v>
      </c>
      <c r="S59" s="3"/>
      <c r="T59" s="8">
        <v>5200</v>
      </c>
      <c r="U59" s="3"/>
      <c r="V59" s="7">
        <f t="shared" si="13"/>
        <v>0</v>
      </c>
      <c r="W59" s="3"/>
      <c r="X59" s="8">
        <f t="shared" si="14"/>
        <v>160.80000000000018</v>
      </c>
      <c r="Y59" s="3"/>
      <c r="Z59" s="7">
        <f t="shared" si="15"/>
        <v>3.0923076923076959E-2</v>
      </c>
    </row>
    <row r="60" spans="1:26" s="70" customFormat="1" ht="15" hidden="1" customHeight="1" outlineLevel="2" x14ac:dyDescent="0.3">
      <c r="A60" s="26"/>
      <c r="B60" s="12" t="str">
        <f>CONCATENATE("          ","6284"," - ","TRASH REMOVAL EXPENSE")</f>
        <v xml:space="preserve">          6284 - TRASH REMOVAL EXPENSE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/>
      <c r="Q60" s="3"/>
      <c r="R60" s="7">
        <f t="shared" si="12"/>
        <v>0</v>
      </c>
      <c r="S60" s="3"/>
      <c r="T60" s="8">
        <v>0</v>
      </c>
      <c r="U60" s="3"/>
      <c r="V60" s="7">
        <f t="shared" si="13"/>
        <v>0</v>
      </c>
      <c r="W60" s="3"/>
      <c r="X60" s="8">
        <f t="shared" si="14"/>
        <v>0</v>
      </c>
      <c r="Y60" s="3"/>
      <c r="Z60" s="7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","6285"," - ","JANITORIAL SERVICES")</f>
        <v xml:space="preserve">          6285 - JANITORIAL SERVICES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3674.32</v>
      </c>
      <c r="Q61" s="3"/>
      <c r="R61" s="7">
        <f t="shared" si="12"/>
        <v>0</v>
      </c>
      <c r="S61" s="3"/>
      <c r="T61" s="8">
        <v>875</v>
      </c>
      <c r="U61" s="3"/>
      <c r="V61" s="7">
        <f t="shared" si="13"/>
        <v>0</v>
      </c>
      <c r="W61" s="3"/>
      <c r="X61" s="8">
        <f t="shared" si="14"/>
        <v>2799.32</v>
      </c>
      <c r="Y61" s="3"/>
      <c r="Z61" s="7">
        <f t="shared" si="15"/>
        <v>3.1992228571428574</v>
      </c>
    </row>
    <row r="62" spans="1:26" s="69" customFormat="1" ht="15" customHeight="1" outlineLevel="1" collapsed="1" x14ac:dyDescent="0.3">
      <c r="A62" s="25"/>
      <c r="B62" s="14" t="str">
        <f>CONCATENATE("     ","Supplies                                          ")</f>
        <v xml:space="preserve">     Supplies                                          </v>
      </c>
      <c r="C62" s="14"/>
      <c r="D62" s="2">
        <f>SUM(OSRRefD22_10x_0)</f>
        <v>6.63</v>
      </c>
      <c r="E62" s="2"/>
      <c r="F62" s="6">
        <f t="shared" si="8"/>
        <v>0</v>
      </c>
      <c r="G62" s="2"/>
      <c r="H62" s="2">
        <f>SUM(OSRRefH22_10x_0)</f>
        <v>0</v>
      </c>
      <c r="I62" s="2"/>
      <c r="J62" s="6">
        <f t="shared" si="9"/>
        <v>0</v>
      </c>
      <c r="K62" s="2"/>
      <c r="L62" s="2">
        <f t="shared" si="10"/>
        <v>6.63</v>
      </c>
      <c r="M62" s="2"/>
      <c r="N62" s="6">
        <f t="shared" si="11"/>
        <v>0</v>
      </c>
      <c r="O62" s="14"/>
      <c r="P62" s="2">
        <f>SUM(OSRRefP22_10x_0)</f>
        <v>493.98</v>
      </c>
      <c r="Q62" s="2"/>
      <c r="R62" s="6">
        <f t="shared" si="12"/>
        <v>0</v>
      </c>
      <c r="S62" s="2"/>
      <c r="T62" s="2">
        <f>SUM(OSRRefT22_10x_0)</f>
        <v>0</v>
      </c>
      <c r="U62" s="2"/>
      <c r="V62" s="6">
        <f t="shared" si="13"/>
        <v>0</v>
      </c>
      <c r="W62" s="2"/>
      <c r="X62" s="2">
        <f t="shared" si="14"/>
        <v>493.98</v>
      </c>
      <c r="Y62" s="2"/>
      <c r="Z62" s="6">
        <f t="shared" si="15"/>
        <v>0</v>
      </c>
    </row>
    <row r="63" spans="1:26" s="70" customFormat="1" ht="15" hidden="1" customHeight="1" outlineLevel="2" x14ac:dyDescent="0.3">
      <c r="A63" s="26"/>
      <c r="B63" s="12" t="str">
        <f>CONCATENATE("          ","6235"," - ","COVID-19 EXPENSES")</f>
        <v xml:space="preserve">          6235 - COVID-19 EXPENSES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318.42</v>
      </c>
      <c r="Q63" s="3"/>
      <c r="R63" s="7">
        <f t="shared" si="12"/>
        <v>0</v>
      </c>
      <c r="S63" s="3"/>
      <c r="T63" s="8"/>
      <c r="U63" s="3"/>
      <c r="V63" s="7">
        <f t="shared" si="13"/>
        <v>0</v>
      </c>
      <c r="W63" s="3"/>
      <c r="X63" s="8">
        <f t="shared" si="14"/>
        <v>318.42</v>
      </c>
      <c r="Y63" s="3"/>
      <c r="Z63" s="7">
        <f t="shared" si="15"/>
        <v>0</v>
      </c>
    </row>
    <row r="64" spans="1:26" s="70" customFormat="1" ht="15" hidden="1" customHeight="1" outlineLevel="2" x14ac:dyDescent="0.3">
      <c r="A64" s="26"/>
      <c r="B64" s="12" t="str">
        <f>CONCATENATE("          ","6241"," - ","OFFICE EXPENSE")</f>
        <v xml:space="preserve">          6241 - OFFICE EXPENSE</v>
      </c>
      <c r="C64" s="12"/>
      <c r="D64" s="8">
        <v>6.63</v>
      </c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6.63</v>
      </c>
      <c r="M64" s="3"/>
      <c r="N64" s="7">
        <f t="shared" si="11"/>
        <v>0</v>
      </c>
      <c r="O64" s="12"/>
      <c r="P64" s="8">
        <v>175.56</v>
      </c>
      <c r="Q64" s="3"/>
      <c r="R64" s="7">
        <f t="shared" si="12"/>
        <v>0</v>
      </c>
      <c r="S64" s="3"/>
      <c r="T64" s="8"/>
      <c r="U64" s="3"/>
      <c r="V64" s="7">
        <f t="shared" si="13"/>
        <v>0</v>
      </c>
      <c r="W64" s="3"/>
      <c r="X64" s="8">
        <f t="shared" si="14"/>
        <v>175.56</v>
      </c>
      <c r="Y64" s="3"/>
      <c r="Z64" s="7">
        <f t="shared" si="15"/>
        <v>0</v>
      </c>
    </row>
    <row r="65" spans="1:26" s="69" customFormat="1" ht="15" customHeight="1" outlineLevel="1" collapsed="1" x14ac:dyDescent="0.3">
      <c r="A65" s="25"/>
      <c r="B65" s="14" t="str">
        <f>CONCATENATE("     ","Telephone/Data Lines                              ")</f>
        <v xml:space="preserve">     Telephone/Data Lines                              </v>
      </c>
      <c r="C65" s="14"/>
      <c r="D65" s="2">
        <f>SUM(OSRRefD22_11x_0)</f>
        <v>188.3</v>
      </c>
      <c r="E65" s="2"/>
      <c r="F65" s="6">
        <f t="shared" si="8"/>
        <v>0</v>
      </c>
      <c r="G65" s="2"/>
      <c r="H65" s="2">
        <f>SUM(OSRRefH22_11x_0)</f>
        <v>0</v>
      </c>
      <c r="I65" s="2"/>
      <c r="J65" s="6">
        <f t="shared" si="9"/>
        <v>0</v>
      </c>
      <c r="K65" s="2"/>
      <c r="L65" s="2">
        <f t="shared" si="10"/>
        <v>188.3</v>
      </c>
      <c r="M65" s="2"/>
      <c r="N65" s="6">
        <f t="shared" si="11"/>
        <v>0</v>
      </c>
      <c r="O65" s="14"/>
      <c r="P65" s="2">
        <f>SUM(OSRRefP22_11x_0)</f>
        <v>1539.11</v>
      </c>
      <c r="Q65" s="2"/>
      <c r="R65" s="6">
        <f t="shared" si="12"/>
        <v>0</v>
      </c>
      <c r="S65" s="2"/>
      <c r="T65" s="2">
        <f>SUM(OSRRefT22_11x_0)</f>
        <v>0</v>
      </c>
      <c r="U65" s="2"/>
      <c r="V65" s="6">
        <f t="shared" si="13"/>
        <v>0</v>
      </c>
      <c r="W65" s="2"/>
      <c r="X65" s="2">
        <f t="shared" si="14"/>
        <v>1539.11</v>
      </c>
      <c r="Y65" s="2"/>
      <c r="Z65" s="6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","6309"," - ","TELEPHONE")</f>
        <v xml:space="preserve">          6309 - TELEPHONE</v>
      </c>
      <c r="C66" s="12"/>
      <c r="D66" s="8">
        <v>188.3</v>
      </c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188.3</v>
      </c>
      <c r="M66" s="3"/>
      <c r="N66" s="7">
        <f t="shared" si="11"/>
        <v>0</v>
      </c>
      <c r="O66" s="12"/>
      <c r="P66" s="8">
        <v>1539.11</v>
      </c>
      <c r="Q66" s="3"/>
      <c r="R66" s="7">
        <f t="shared" si="12"/>
        <v>0</v>
      </c>
      <c r="S66" s="3"/>
      <c r="T66" s="8"/>
      <c r="U66" s="3"/>
      <c r="V66" s="7">
        <f t="shared" si="13"/>
        <v>0</v>
      </c>
      <c r="W66" s="3"/>
      <c r="X66" s="8">
        <f t="shared" si="14"/>
        <v>1539.11</v>
      </c>
      <c r="Y66" s="3"/>
      <c r="Z66" s="7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","Training                                          ")</f>
        <v xml:space="preserve">     Training                                          </v>
      </c>
      <c r="C67" s="14"/>
      <c r="D67" s="2">
        <f>SUM(OSRRefD22_12x_0)</f>
        <v>0</v>
      </c>
      <c r="E67" s="2"/>
      <c r="F67" s="6">
        <f t="shared" si="8"/>
        <v>0</v>
      </c>
      <c r="G67" s="2"/>
      <c r="H67" s="2">
        <f>SUM(OSRRefH22_12x_0)</f>
        <v>0</v>
      </c>
      <c r="I67" s="2"/>
      <c r="J67" s="6">
        <f t="shared" si="9"/>
        <v>0</v>
      </c>
      <c r="K67" s="2"/>
      <c r="L67" s="2">
        <f t="shared" si="10"/>
        <v>0</v>
      </c>
      <c r="M67" s="2"/>
      <c r="N67" s="6">
        <f t="shared" si="11"/>
        <v>0</v>
      </c>
      <c r="O67" s="14"/>
      <c r="P67" s="2">
        <f>SUM(OSRRefP22_12x_0)</f>
        <v>0</v>
      </c>
      <c r="Q67" s="2"/>
      <c r="R67" s="6">
        <f t="shared" si="12"/>
        <v>0</v>
      </c>
      <c r="S67" s="2"/>
      <c r="T67" s="2">
        <f>SUM(OSRRefT22_12x_0)</f>
        <v>600</v>
      </c>
      <c r="U67" s="2"/>
      <c r="V67" s="6">
        <f t="shared" si="13"/>
        <v>0</v>
      </c>
      <c r="W67" s="2"/>
      <c r="X67" s="2">
        <f t="shared" si="14"/>
        <v>-600</v>
      </c>
      <c r="Y67" s="2"/>
      <c r="Z67" s="6">
        <f t="shared" si="15"/>
        <v>-1</v>
      </c>
    </row>
    <row r="68" spans="1:26" s="70" customFormat="1" ht="15" hidden="1" customHeight="1" outlineLevel="2" x14ac:dyDescent="0.3">
      <c r="A68" s="26"/>
      <c r="B68" s="12" t="str">
        <f>CONCATENATE("          ","6376"," - ","TRAINING")</f>
        <v xml:space="preserve">          6376 - TRAINING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/>
      <c r="Q68" s="3"/>
      <c r="R68" s="7">
        <f t="shared" si="12"/>
        <v>0</v>
      </c>
      <c r="S68" s="3"/>
      <c r="T68" s="8">
        <v>600</v>
      </c>
      <c r="U68" s="3"/>
      <c r="V68" s="7">
        <f t="shared" si="13"/>
        <v>0</v>
      </c>
      <c r="W68" s="3"/>
      <c r="X68" s="8">
        <f t="shared" si="14"/>
        <v>-600</v>
      </c>
      <c r="Y68" s="3"/>
      <c r="Z68" s="7">
        <f t="shared" si="15"/>
        <v>-1</v>
      </c>
    </row>
    <row r="69" spans="1:26" s="69" customFormat="1" ht="15" customHeight="1" outlineLevel="1" collapsed="1" x14ac:dyDescent="0.3">
      <c r="A69" s="25"/>
      <c r="B69" s="14" t="str">
        <f>CONCATENATE("     ","Travel                                            ")</f>
        <v xml:space="preserve">     Travel                                            </v>
      </c>
      <c r="C69" s="14"/>
      <c r="D69" s="2">
        <f>SUM(OSRRefD22_13x_0)</f>
        <v>122.65</v>
      </c>
      <c r="E69" s="2"/>
      <c r="F69" s="6">
        <f t="shared" si="8"/>
        <v>0</v>
      </c>
      <c r="G69" s="2"/>
      <c r="H69" s="2">
        <f>SUM(OSRRefH22_13x_0)</f>
        <v>0</v>
      </c>
      <c r="I69" s="2"/>
      <c r="J69" s="6">
        <f t="shared" si="9"/>
        <v>0</v>
      </c>
      <c r="K69" s="2"/>
      <c r="L69" s="2">
        <f t="shared" si="10"/>
        <v>122.65</v>
      </c>
      <c r="M69" s="2"/>
      <c r="N69" s="6">
        <f t="shared" si="11"/>
        <v>0</v>
      </c>
      <c r="O69" s="14"/>
      <c r="P69" s="2">
        <f>SUM(OSRRefP22_13x_0)</f>
        <v>141.24</v>
      </c>
      <c r="Q69" s="2"/>
      <c r="R69" s="6">
        <f t="shared" si="12"/>
        <v>0</v>
      </c>
      <c r="S69" s="2"/>
      <c r="T69" s="2">
        <f>SUM(OSRRefT22_13x_0)</f>
        <v>0</v>
      </c>
      <c r="U69" s="2"/>
      <c r="V69" s="6">
        <f t="shared" si="13"/>
        <v>0</v>
      </c>
      <c r="W69" s="2"/>
      <c r="X69" s="2">
        <f t="shared" si="14"/>
        <v>141.24</v>
      </c>
      <c r="Y69" s="2"/>
      <c r="Z69" s="6">
        <f t="shared" si="15"/>
        <v>0</v>
      </c>
    </row>
    <row r="70" spans="1:26" s="70" customFormat="1" ht="15" hidden="1" customHeight="1" outlineLevel="2" x14ac:dyDescent="0.3">
      <c r="A70" s="26"/>
      <c r="B70" s="12" t="str">
        <f>CONCATENATE("          ","6292"," - ","TRAVEL/CONFERENCE")</f>
        <v xml:space="preserve">          6292 - TRAVEL/CONFERENCE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18.59</v>
      </c>
      <c r="Q70" s="3"/>
      <c r="R70" s="7">
        <f t="shared" si="12"/>
        <v>0</v>
      </c>
      <c r="S70" s="3"/>
      <c r="T70" s="8"/>
      <c r="U70" s="3"/>
      <c r="V70" s="7">
        <f t="shared" si="13"/>
        <v>0</v>
      </c>
      <c r="W70" s="3"/>
      <c r="X70" s="8">
        <f t="shared" si="14"/>
        <v>18.59</v>
      </c>
      <c r="Y70" s="3"/>
      <c r="Z70" s="7">
        <f t="shared" si="15"/>
        <v>0</v>
      </c>
    </row>
    <row r="71" spans="1:26" s="70" customFormat="1" ht="15" hidden="1" customHeight="1" outlineLevel="2" x14ac:dyDescent="0.3">
      <c r="A71" s="26"/>
      <c r="B71" s="12" t="str">
        <f>CONCATENATE("          ","6298"," - ","VEHICLE MILEAGE")</f>
        <v xml:space="preserve">          6298 - VEHICLE MILEAGE</v>
      </c>
      <c r="C71" s="12"/>
      <c r="D71" s="8">
        <v>122.65</v>
      </c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122.65</v>
      </c>
      <c r="M71" s="3"/>
      <c r="N71" s="7">
        <f t="shared" si="11"/>
        <v>0</v>
      </c>
      <c r="O71" s="12"/>
      <c r="P71" s="8">
        <v>122.65</v>
      </c>
      <c r="Q71" s="3"/>
      <c r="R71" s="7">
        <f t="shared" si="12"/>
        <v>0</v>
      </c>
      <c r="S71" s="3"/>
      <c r="T71" s="8"/>
      <c r="U71" s="3"/>
      <c r="V71" s="7">
        <f t="shared" si="13"/>
        <v>0</v>
      </c>
      <c r="W71" s="3"/>
      <c r="X71" s="8">
        <f t="shared" si="14"/>
        <v>122.65</v>
      </c>
      <c r="Y71" s="3"/>
      <c r="Z71" s="7">
        <f t="shared" si="15"/>
        <v>0</v>
      </c>
    </row>
    <row r="72" spans="1:26" s="69" customFormat="1" ht="15" customHeight="1" outlineLevel="1" collapsed="1" x14ac:dyDescent="0.3">
      <c r="A72" s="25"/>
      <c r="B72" s="14" t="str">
        <f>CONCATENATE("     ","Utilities                                         ")</f>
        <v xml:space="preserve">     Utilities                                         </v>
      </c>
      <c r="C72" s="14"/>
      <c r="D72" s="2">
        <f>SUM(OSRRefD22_14x_0)</f>
        <v>5550</v>
      </c>
      <c r="E72" s="2"/>
      <c r="F72" s="6">
        <f t="shared" si="8"/>
        <v>0</v>
      </c>
      <c r="G72" s="2"/>
      <c r="H72" s="2">
        <f>SUM(OSRRefH22_14x_0)</f>
        <v>5550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SUM(OSRRefP22_14x_0)</f>
        <v>44400</v>
      </c>
      <c r="Q72" s="2"/>
      <c r="R72" s="6">
        <f t="shared" si="12"/>
        <v>0</v>
      </c>
      <c r="S72" s="2"/>
      <c r="T72" s="2">
        <f>SUM(OSRRefT22_14x_0)</f>
        <v>44400</v>
      </c>
      <c r="U72" s="2"/>
      <c r="V72" s="6">
        <f t="shared" si="13"/>
        <v>0</v>
      </c>
      <c r="W72" s="2"/>
      <c r="X72" s="2">
        <f t="shared" si="14"/>
        <v>0</v>
      </c>
      <c r="Y72" s="2"/>
      <c r="Z72" s="6">
        <f t="shared" si="15"/>
        <v>0</v>
      </c>
    </row>
    <row r="73" spans="1:26" s="70" customFormat="1" ht="15" hidden="1" customHeight="1" outlineLevel="2" x14ac:dyDescent="0.3">
      <c r="A73" s="26"/>
      <c r="B73" s="12" t="str">
        <f>CONCATENATE("          ","6274"," - ","UTILITIES")</f>
        <v xml:space="preserve">          6274 - UTILITIES</v>
      </c>
      <c r="C73" s="12"/>
      <c r="D73" s="8">
        <v>5550</v>
      </c>
      <c r="E73" s="3"/>
      <c r="F73" s="7">
        <f t="shared" si="8"/>
        <v>0</v>
      </c>
      <c r="G73" s="3"/>
      <c r="H73" s="8">
        <v>5550</v>
      </c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44400</v>
      </c>
      <c r="Q73" s="3"/>
      <c r="R73" s="7">
        <f t="shared" si="12"/>
        <v>0</v>
      </c>
      <c r="S73" s="3"/>
      <c r="T73" s="8">
        <v>44400</v>
      </c>
      <c r="U73" s="3"/>
      <c r="V73" s="7">
        <f t="shared" si="13"/>
        <v>0</v>
      </c>
      <c r="W73" s="3"/>
      <c r="X73" s="8">
        <f t="shared" si="14"/>
        <v>0</v>
      </c>
      <c r="Y73" s="3"/>
      <c r="Z73" s="7">
        <f t="shared" si="15"/>
        <v>0</v>
      </c>
    </row>
    <row r="74" spans="1:26" s="65" customFormat="1" ht="15" customHeight="1" x14ac:dyDescent="0.3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collapsed="1" x14ac:dyDescent="0.3">
      <c r="A75" s="11"/>
      <c r="B75" s="27" t="s">
        <v>291</v>
      </c>
      <c r="C75" s="11"/>
      <c r="D75" s="5">
        <f>SUM(OSRRefD25x_0)</f>
        <v>0</v>
      </c>
      <c r="E75" s="5"/>
      <c r="F75" s="13">
        <f>IF(D$12=0,0,D75/D$12)</f>
        <v>0</v>
      </c>
      <c r="G75" s="5"/>
      <c r="H75" s="5">
        <f>SUM(OSRRefH25x_0)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SUM(OSRRefP25x_0)</f>
        <v>14577.17</v>
      </c>
      <c r="Q75" s="5"/>
      <c r="R75" s="13">
        <f>IF(P$12=0,0,P75/P$12)</f>
        <v>0</v>
      </c>
      <c r="S75" s="5"/>
      <c r="T75" s="5">
        <f>SUM(OSRRefT25x_0)</f>
        <v>0</v>
      </c>
      <c r="U75" s="5"/>
      <c r="V75" s="13">
        <f>IF(T$12=0,0,T75/T$12)</f>
        <v>0</v>
      </c>
      <c r="W75" s="5"/>
      <c r="X75" s="5">
        <f>+P75-T75</f>
        <v>14577.17</v>
      </c>
      <c r="Y75" s="5"/>
      <c r="Z75" s="13">
        <f>IF(T75=0,0,X75/T75)</f>
        <v>0</v>
      </c>
    </row>
    <row r="76" spans="1:26" s="70" customFormat="1" ht="15" hidden="1" customHeight="1" outlineLevel="1" x14ac:dyDescent="0.3">
      <c r="A76" s="42"/>
      <c r="B76" s="12" t="str">
        <f>CONCATENATE("          ","9150"," - ","MISC. INCOME")</f>
        <v xml:space="preserve">          9150 - MISC. INCOME</v>
      </c>
      <c r="C76" s="12"/>
      <c r="D76" s="3">
        <f>0</f>
        <v>0</v>
      </c>
      <c r="E76" s="3"/>
      <c r="F76" s="20">
        <f>IF(D$12=0,0,D76/D$12)</f>
        <v>0</v>
      </c>
      <c r="G76" s="3"/>
      <c r="H76" s="3"/>
      <c r="I76" s="3"/>
      <c r="J76" s="20">
        <f>IF(H$12=0,0,H76/H$12)</f>
        <v>0</v>
      </c>
      <c r="K76" s="3"/>
      <c r="L76" s="3">
        <f>+D76-H76</f>
        <v>0</v>
      </c>
      <c r="M76" s="3"/>
      <c r="N76" s="20">
        <f>IF(H76=0,0,L76/H76)</f>
        <v>0</v>
      </c>
      <c r="O76" s="12"/>
      <c r="P76" s="3">
        <f>--14577.17</f>
        <v>14577.17</v>
      </c>
      <c r="Q76" s="3"/>
      <c r="R76" s="20">
        <f>IF(P$12=0,0,P76/P$12)</f>
        <v>0</v>
      </c>
      <c r="S76" s="3"/>
      <c r="T76" s="3"/>
      <c r="U76" s="3"/>
      <c r="V76" s="20">
        <f>IF(T$12=0,0,T76/T$12)</f>
        <v>0</v>
      </c>
      <c r="W76" s="3"/>
      <c r="X76" s="3">
        <f>+P76-T76</f>
        <v>14577.17</v>
      </c>
      <c r="Y76" s="3"/>
      <c r="Z76" s="20">
        <f>IF(T76=0,0,X76/T76)</f>
        <v>0</v>
      </c>
    </row>
    <row r="77" spans="1:26" ht="15" customHeight="1" x14ac:dyDescent="0.3">
      <c r="A77" s="10"/>
      <c r="B77" s="11"/>
      <c r="C77" s="11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O77" s="11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3" customFormat="1" ht="15" customHeight="1" x14ac:dyDescent="0.3">
      <c r="A78" s="11"/>
      <c r="B78" s="28" t="s">
        <v>292</v>
      </c>
      <c r="C78" s="28"/>
      <c r="D78" s="21">
        <f>+D16-D18+D75</f>
        <v>-43353.869999999995</v>
      </c>
      <c r="E78" s="15"/>
      <c r="F78" s="22">
        <f>IF(D$12=0,0,D78/D$12)</f>
        <v>0</v>
      </c>
      <c r="G78" s="15"/>
      <c r="H78" s="21">
        <f>+H16-H18+H75</f>
        <v>-41947.132430769241</v>
      </c>
      <c r="I78" s="15"/>
      <c r="J78" s="22">
        <f>IF(H$12=0,0,H78/H$12)</f>
        <v>0</v>
      </c>
      <c r="K78" s="16"/>
      <c r="L78" s="21">
        <f>+D78-H78</f>
        <v>-1406.7375692307542</v>
      </c>
      <c r="M78" s="16"/>
      <c r="N78" s="22">
        <f>IF(H78=0,0,L78/H78)</f>
        <v>3.353596509969959E-2</v>
      </c>
      <c r="O78" s="27"/>
      <c r="P78" s="21">
        <f>+P16-P18+P75</f>
        <v>-383717.64000000007</v>
      </c>
      <c r="Q78" s="15"/>
      <c r="R78" s="22">
        <f>IF(P$12=0,0,P78/P$12)</f>
        <v>0</v>
      </c>
      <c r="S78" s="15"/>
      <c r="T78" s="21">
        <f>+T16-T18+T75</f>
        <v>-362058.65876923082</v>
      </c>
      <c r="U78" s="15"/>
      <c r="V78" s="22">
        <f>IF(T$12=0,0,T78/T$12)</f>
        <v>0</v>
      </c>
      <c r="W78" s="16"/>
      <c r="X78" s="21">
        <f>+P78-T78</f>
        <v>-21658.981230769248</v>
      </c>
      <c r="Y78" s="16"/>
      <c r="Z78" s="22">
        <f>IF(T78=0,0,X78/T78)</f>
        <v>5.9821746300436539E-2</v>
      </c>
    </row>
    <row r="79" spans="1:26" ht="15" customHeight="1" x14ac:dyDescent="0.3">
      <c r="A79" s="10"/>
      <c r="B79" s="11"/>
      <c r="C79" s="10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3">
      <c r="A80" s="49"/>
      <c r="B80" s="11" t="s">
        <v>293</v>
      </c>
      <c r="C80" s="11"/>
      <c r="D80" s="5"/>
      <c r="E80" s="5"/>
      <c r="F80" s="13">
        <f>IF(D$12=0,0,D80/D$12)</f>
        <v>0</v>
      </c>
      <c r="G80" s="5"/>
      <c r="H80" s="5"/>
      <c r="I80" s="5"/>
      <c r="J80" s="13">
        <f>IF(H$12=0,0,H80/H$12)</f>
        <v>0</v>
      </c>
      <c r="K80" s="5"/>
      <c r="L80" s="5">
        <f>+D80-H80</f>
        <v>0</v>
      </c>
      <c r="M80" s="5"/>
      <c r="N80" s="13">
        <f>IF(H80=0,0,L80/H80)</f>
        <v>0</v>
      </c>
      <c r="O80" s="11"/>
      <c r="P80" s="5"/>
      <c r="Q80" s="5"/>
      <c r="R80" s="13">
        <f>IF(P$12=0,0,P80/P$12)</f>
        <v>0</v>
      </c>
      <c r="S80" s="5"/>
      <c r="T80" s="5"/>
      <c r="U80" s="5"/>
      <c r="V80" s="13">
        <f>IF(T$12=0,0,T80/T$12)</f>
        <v>0</v>
      </c>
      <c r="W80" s="5"/>
      <c r="X80" s="5">
        <f>+P80-T80</f>
        <v>0</v>
      </c>
      <c r="Y80" s="5"/>
      <c r="Z80" s="13">
        <f>IF(T80=0,0,X80/T80)</f>
        <v>0</v>
      </c>
    </row>
    <row r="81" spans="1:26" ht="15" customHeight="1" x14ac:dyDescent="0.3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8" t="s">
        <v>294</v>
      </c>
      <c r="C82" s="28"/>
      <c r="D82" s="33">
        <f>+D78-D80</f>
        <v>-43353.869999999995</v>
      </c>
      <c r="E82" s="15"/>
      <c r="F82" s="32">
        <f>IF(D$12=0,0,D82/D$12)</f>
        <v>0</v>
      </c>
      <c r="G82" s="15"/>
      <c r="H82" s="33">
        <f>+H78-H80</f>
        <v>-41947.132430769241</v>
      </c>
      <c r="I82" s="15"/>
      <c r="J82" s="32">
        <f>IF(H$12=0,0,H82/H$12)</f>
        <v>0</v>
      </c>
      <c r="K82" s="16"/>
      <c r="L82" s="33">
        <f>D82-H82</f>
        <v>-1406.7375692307542</v>
      </c>
      <c r="M82" s="16"/>
      <c r="N82" s="32">
        <f>IF(H82=0,0,L82/H82)</f>
        <v>3.353596509969959E-2</v>
      </c>
      <c r="O82" s="27"/>
      <c r="P82" s="33">
        <f>+P78-P80</f>
        <v>-383717.64000000007</v>
      </c>
      <c r="Q82" s="15"/>
      <c r="R82" s="32">
        <f>IF(P$12=0,0,P82/P$12)</f>
        <v>0</v>
      </c>
      <c r="S82" s="15"/>
      <c r="T82" s="33">
        <f>+T78-T80</f>
        <v>-362058.65876923082</v>
      </c>
      <c r="U82" s="15"/>
      <c r="V82" s="32">
        <f>IF(T$12=0,0,T82/T$12)</f>
        <v>0</v>
      </c>
      <c r="W82" s="16"/>
      <c r="X82" s="33">
        <f>P82-T82</f>
        <v>-21658.981230769248</v>
      </c>
      <c r="Y82" s="16"/>
      <c r="Z82" s="32">
        <f>IF(T82=0,0,X82/T82)</f>
        <v>5.9821746300436539E-2</v>
      </c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ht="15" customHeight="1" x14ac:dyDescent="0.3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3">
      <c r="A85" s="11"/>
      <c r="B85" s="28" t="s">
        <v>297</v>
      </c>
      <c r="C85" s="28"/>
      <c r="D85" s="34">
        <f>SUM(D82:D84)</f>
        <v>-43353.869999999995</v>
      </c>
      <c r="E85" s="15"/>
      <c r="F85" s="30">
        <f>IF(D$12=0,0,D85/D$12)</f>
        <v>0</v>
      </c>
      <c r="G85" s="15"/>
      <c r="H85" s="34">
        <f>SUM(H82:H84)</f>
        <v>-41947.132430769241</v>
      </c>
      <c r="I85" s="15"/>
      <c r="J85" s="30">
        <f>IF(H$12=0,0,H85/H$12)</f>
        <v>0</v>
      </c>
      <c r="K85" s="16"/>
      <c r="L85" s="34">
        <f>+D85-H85</f>
        <v>-1406.7375692307542</v>
      </c>
      <c r="M85" s="16"/>
      <c r="N85" s="30">
        <f>IF(H85=0,0,L85/H85)</f>
        <v>3.353596509969959E-2</v>
      </c>
      <c r="O85" s="27"/>
      <c r="P85" s="34">
        <f>SUM(P82:P84)</f>
        <v>-383717.64000000007</v>
      </c>
      <c r="Q85" s="15"/>
      <c r="R85" s="30">
        <f>IF(P$12=0,0,P85/P$12)</f>
        <v>0</v>
      </c>
      <c r="S85" s="15"/>
      <c r="T85" s="34">
        <f>SUM(T82:T84)</f>
        <v>-362058.65876923082</v>
      </c>
      <c r="U85" s="15"/>
      <c r="V85" s="30">
        <f>IF(T$12=0,0,T85/T$12)</f>
        <v>0</v>
      </c>
      <c r="W85" s="16"/>
      <c r="X85" s="34">
        <f>+P85-T85</f>
        <v>-21658.981230769248</v>
      </c>
      <c r="Y85" s="16"/>
      <c r="Z85" s="30">
        <f>IF(T85=0,0,X85/T85)</f>
        <v>5.9821746300436539E-2</v>
      </c>
    </row>
    <row r="86" spans="1:26" ht="15" customHeight="1" x14ac:dyDescent="0.3">
      <c r="A86" s="10"/>
      <c r="C86" s="10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A87" s="10"/>
      <c r="B87" s="57">
        <v>44634.883430555557</v>
      </c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  <row r="88" spans="1:26" ht="15" customHeight="1" x14ac:dyDescent="0.3">
      <c r="A88" s="10"/>
      <c r="B88" s="56" t="s">
        <v>298</v>
      </c>
      <c r="D88" s="19"/>
      <c r="E88" s="19"/>
      <c r="G88" s="19"/>
      <c r="H88" s="19"/>
      <c r="I88" s="19"/>
      <c r="J88" s="41"/>
      <c r="K88" s="19"/>
      <c r="L88" s="19"/>
      <c r="M88" s="19"/>
      <c r="P88" s="19"/>
      <c r="Q88" s="19"/>
      <c r="R88" s="41"/>
      <c r="S88" s="19"/>
      <c r="T88" s="19"/>
      <c r="U88" s="19"/>
      <c r="V88" s="41"/>
      <c r="W88" s="19"/>
      <c r="X88" s="19"/>
    </row>
    <row r="89" spans="1:26" ht="15" customHeight="1" x14ac:dyDescent="0.3">
      <c r="A89" s="10"/>
      <c r="B89" s="54"/>
      <c r="D89" s="19"/>
      <c r="E89" s="19"/>
      <c r="G89" s="19"/>
      <c r="H89" s="19"/>
      <c r="I89" s="19"/>
      <c r="J89" s="41"/>
      <c r="K89" s="19"/>
      <c r="L89" s="19"/>
      <c r="M89" s="19"/>
      <c r="P89" s="19"/>
      <c r="Q89" s="19"/>
      <c r="R89" s="41"/>
      <c r="S89" s="19"/>
      <c r="T89" s="19"/>
      <c r="U89" s="19"/>
      <c r="V89" s="41"/>
      <c r="W89" s="19"/>
      <c r="X89" s="19"/>
    </row>
    <row r="90" spans="1:26" ht="15" customHeight="1" x14ac:dyDescent="0.3">
      <c r="D90" s="19"/>
      <c r="E90" s="19"/>
      <c r="G90" s="19"/>
      <c r="H90" s="19"/>
      <c r="I90" s="19"/>
      <c r="J90" s="41"/>
      <c r="K90" s="19"/>
      <c r="L90" s="19"/>
      <c r="M90" s="19"/>
      <c r="P90" s="19"/>
      <c r="Q90" s="19"/>
      <c r="R90" s="41"/>
      <c r="S90" s="19"/>
      <c r="T90" s="19"/>
      <c r="U90" s="19"/>
      <c r="V90" s="41"/>
      <c r="W90" s="19"/>
      <c r="X90" s="19"/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F4382-A2B3-712F-CAEE-DF59F3D6C732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","412"," - ","Chartroom")</f>
        <v>Department 412 - Chartroom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577.36</v>
      </c>
      <c r="E18" s="23"/>
      <c r="F18" s="29">
        <f t="shared" ref="F18:F26" si="0">IF(D$12=0,0,D18/D$12)</f>
        <v>0</v>
      </c>
      <c r="G18" s="23"/>
      <c r="H18" s="23" cm="1">
        <f t="array" ref="H18">SUM(OSRRefH22x_0)</f>
        <v>577</v>
      </c>
      <c r="I18" s="23"/>
      <c r="J18" s="29">
        <f t="shared" ref="J18:J26" si="1">IF(H$12=0,0,H18/H$12)</f>
        <v>0</v>
      </c>
      <c r="K18" s="5"/>
      <c r="L18" s="23">
        <f t="shared" ref="L18:L26" si="2">+D18-H18</f>
        <v>0.36000000000001364</v>
      </c>
      <c r="M18" s="5"/>
      <c r="N18" s="29">
        <f t="shared" ref="N18:N26" si="3">IF(H18=0,0,L18/H18)</f>
        <v>6.2391681109187809E-4</v>
      </c>
      <c r="O18" s="11"/>
      <c r="P18" s="23" cm="1">
        <f t="array" ref="P18">SUM(OSRRefP22x_0)</f>
        <v>4878.18</v>
      </c>
      <c r="Q18" s="23"/>
      <c r="R18" s="29">
        <f t="shared" ref="R18:R26" si="4">IF(P$12=0,0,P18/P$12)</f>
        <v>0</v>
      </c>
      <c r="S18" s="23"/>
      <c r="T18" s="23" cm="1">
        <f t="array" ref="T18">SUM(OSRRefT22x_0)</f>
        <v>4616</v>
      </c>
      <c r="U18" s="23"/>
      <c r="V18" s="29">
        <f t="shared" ref="V18:V26" si="5">IF(T$12=0,0,T18/T$12)</f>
        <v>0</v>
      </c>
      <c r="W18" s="5"/>
      <c r="X18" s="23">
        <f t="shared" ref="X18:X26" si="6">+P18-T18</f>
        <v>262.18000000000029</v>
      </c>
      <c r="Y18" s="5"/>
      <c r="Z18" s="29">
        <f t="shared" ref="Z18:Z26" si="7">IF(T18=0,0,X18/T18)</f>
        <v>5.6798093587521727E-2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577.36</v>
      </c>
      <c r="E19" s="2"/>
      <c r="F19" s="6">
        <f t="shared" si="0"/>
        <v>0</v>
      </c>
      <c r="G19" s="2"/>
      <c r="H19" s="2">
        <f>SUM(OSRRefH22_0x_0)</f>
        <v>577</v>
      </c>
      <c r="I19" s="2"/>
      <c r="J19" s="6">
        <f t="shared" si="1"/>
        <v>0</v>
      </c>
      <c r="K19" s="2"/>
      <c r="L19" s="2">
        <f t="shared" si="2"/>
        <v>0.36000000000001364</v>
      </c>
      <c r="M19" s="2"/>
      <c r="N19" s="6">
        <f t="shared" si="3"/>
        <v>6.2391681109187809E-4</v>
      </c>
      <c r="O19" s="14"/>
      <c r="P19" s="2">
        <f>SUM(OSRRefP22_0x_0)</f>
        <v>4618.88</v>
      </c>
      <c r="Q19" s="2"/>
      <c r="R19" s="6">
        <f t="shared" si="4"/>
        <v>0</v>
      </c>
      <c r="S19" s="2"/>
      <c r="T19" s="2">
        <f>SUM(OSRRefT22_0x_0)</f>
        <v>4616</v>
      </c>
      <c r="U19" s="2"/>
      <c r="V19" s="6">
        <f t="shared" si="5"/>
        <v>0</v>
      </c>
      <c r="W19" s="2"/>
      <c r="X19" s="2">
        <f t="shared" si="6"/>
        <v>2.8800000000001091</v>
      </c>
      <c r="Y19" s="2"/>
      <c r="Z19" s="6">
        <f t="shared" si="7"/>
        <v>6.2391681109187809E-4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577.36</v>
      </c>
      <c r="E20" s="3"/>
      <c r="F20" s="7">
        <f t="shared" si="0"/>
        <v>0</v>
      </c>
      <c r="G20" s="3"/>
      <c r="H20" s="8">
        <v>577</v>
      </c>
      <c r="I20" s="3"/>
      <c r="J20" s="7">
        <f t="shared" si="1"/>
        <v>0</v>
      </c>
      <c r="K20" s="3"/>
      <c r="L20" s="8">
        <f t="shared" si="2"/>
        <v>0.36000000000001364</v>
      </c>
      <c r="M20" s="3"/>
      <c r="N20" s="7">
        <f t="shared" si="3"/>
        <v>6.2391681109187809E-4</v>
      </c>
      <c r="O20" s="12"/>
      <c r="P20" s="8">
        <v>4618.88</v>
      </c>
      <c r="Q20" s="3"/>
      <c r="R20" s="7">
        <f t="shared" si="4"/>
        <v>0</v>
      </c>
      <c r="S20" s="3"/>
      <c r="T20" s="8">
        <v>4616</v>
      </c>
      <c r="U20" s="3"/>
      <c r="V20" s="7">
        <f t="shared" si="5"/>
        <v>0</v>
      </c>
      <c r="W20" s="3"/>
      <c r="X20" s="8">
        <f t="shared" si="6"/>
        <v>2.8800000000001091</v>
      </c>
      <c r="Y20" s="3"/>
      <c r="Z20" s="7">
        <f t="shared" si="7"/>
        <v>6.2391681109187809E-4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123.7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123.7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123.7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123.7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69" customFormat="1" ht="15" customHeight="1" outlineLevel="1" collapsed="1" x14ac:dyDescent="0.3">
      <c r="A25" s="25"/>
      <c r="B25" s="14" t="str">
        <f>CONCATENATE("     ","Telephone/Data Lines                              ")</f>
        <v xml:space="preserve">     Telephone/Data Lines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135.6</v>
      </c>
      <c r="Q25" s="2"/>
      <c r="R25" s="6">
        <f t="shared" si="4"/>
        <v>0</v>
      </c>
      <c r="S25" s="2"/>
      <c r="T25" s="2">
        <f>SUM(OSRRefT22_3x_0)</f>
        <v>0</v>
      </c>
      <c r="U25" s="2"/>
      <c r="V25" s="6">
        <f t="shared" si="5"/>
        <v>0</v>
      </c>
      <c r="W25" s="2"/>
      <c r="X25" s="2">
        <f t="shared" si="6"/>
        <v>135.6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","6309"," - ","TELEPHONE")</f>
        <v xml:space="preserve">          6309 - TELEPHONE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135.6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135.6</v>
      </c>
      <c r="Y26" s="3"/>
      <c r="Z26" s="7">
        <f t="shared" si="7"/>
        <v>0</v>
      </c>
    </row>
    <row r="27" spans="1:26" s="65" customFormat="1" ht="15" customHeight="1" x14ac:dyDescent="0.3">
      <c r="A27" s="35"/>
      <c r="B27" s="35"/>
      <c r="C27" s="35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5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3" customFormat="1" ht="15" customHeight="1" x14ac:dyDescent="0.3">
      <c r="A28" s="11"/>
      <c r="B28" s="27" t="s">
        <v>291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8" t="s">
        <v>292</v>
      </c>
      <c r="C30" s="28"/>
      <c r="D30" s="21">
        <f>+D16-D18+D28</f>
        <v>-577.36</v>
      </c>
      <c r="E30" s="15"/>
      <c r="F30" s="22">
        <f>IF(D$12=0,0,D30/D$12)</f>
        <v>0</v>
      </c>
      <c r="G30" s="15"/>
      <c r="H30" s="21">
        <f>+H16-H18+H28</f>
        <v>-577</v>
      </c>
      <c r="I30" s="15"/>
      <c r="J30" s="22">
        <f>IF(H$12=0,0,H30/H$12)</f>
        <v>0</v>
      </c>
      <c r="K30" s="16"/>
      <c r="L30" s="21">
        <f>+D30-H30</f>
        <v>-0.36000000000001364</v>
      </c>
      <c r="M30" s="16"/>
      <c r="N30" s="22">
        <f>IF(H30=0,0,L30/H30)</f>
        <v>6.2391681109187809E-4</v>
      </c>
      <c r="O30" s="27"/>
      <c r="P30" s="21">
        <f>+P16-P18+P28</f>
        <v>-4878.18</v>
      </c>
      <c r="Q30" s="15"/>
      <c r="R30" s="22">
        <f>IF(P$12=0,0,P30/P$12)</f>
        <v>0</v>
      </c>
      <c r="S30" s="15"/>
      <c r="T30" s="21">
        <f>+T16-T18+T28</f>
        <v>-4616</v>
      </c>
      <c r="U30" s="15"/>
      <c r="V30" s="22">
        <f>IF(T$12=0,0,T30/T$12)</f>
        <v>0</v>
      </c>
      <c r="W30" s="16"/>
      <c r="X30" s="21">
        <f>+P30-T30</f>
        <v>-262.18000000000029</v>
      </c>
      <c r="Y30" s="16"/>
      <c r="Z30" s="22">
        <f>IF(T30=0,0,X30/T30)</f>
        <v>5.6798093587521727E-2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49"/>
      <c r="B32" s="11" t="s">
        <v>293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3">
      <c r="A34" s="11"/>
      <c r="B34" s="28" t="s">
        <v>294</v>
      </c>
      <c r="C34" s="28"/>
      <c r="D34" s="33">
        <f>+D30-D32</f>
        <v>-577.36</v>
      </c>
      <c r="E34" s="15"/>
      <c r="F34" s="32">
        <f>IF(D$12=0,0,D34/D$12)</f>
        <v>0</v>
      </c>
      <c r="G34" s="15"/>
      <c r="H34" s="33">
        <f>+H30-H32</f>
        <v>-577</v>
      </c>
      <c r="I34" s="15"/>
      <c r="J34" s="32">
        <f>IF(H$12=0,0,H34/H$12)</f>
        <v>0</v>
      </c>
      <c r="K34" s="16"/>
      <c r="L34" s="33">
        <f>D34-H34</f>
        <v>-0.36000000000001364</v>
      </c>
      <c r="M34" s="16"/>
      <c r="N34" s="32">
        <f>IF(H34=0,0,L34/H34)</f>
        <v>6.2391681109187809E-4</v>
      </c>
      <c r="O34" s="27"/>
      <c r="P34" s="33">
        <f>+P30-P32</f>
        <v>-4878.18</v>
      </c>
      <c r="Q34" s="15"/>
      <c r="R34" s="32">
        <f>IF(P$12=0,0,P34/P$12)</f>
        <v>0</v>
      </c>
      <c r="S34" s="15"/>
      <c r="T34" s="33">
        <f>+T30-T32</f>
        <v>-4616</v>
      </c>
      <c r="U34" s="15"/>
      <c r="V34" s="32">
        <f>IF(T$12=0,0,T34/T$12)</f>
        <v>0</v>
      </c>
      <c r="W34" s="16"/>
      <c r="X34" s="33">
        <f>P34-T34</f>
        <v>-262.18000000000029</v>
      </c>
      <c r="Y34" s="16"/>
      <c r="Z34" s="32">
        <f>IF(T34=0,0,X34/T34)</f>
        <v>5.6798093587521727E-2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3" customFormat="1" ht="15" customHeight="1" x14ac:dyDescent="0.3">
      <c r="A37" s="11"/>
      <c r="B37" s="28" t="s">
        <v>297</v>
      </c>
      <c r="C37" s="28"/>
      <c r="D37" s="34">
        <f>SUM(D34:D36)</f>
        <v>-577.36</v>
      </c>
      <c r="E37" s="15"/>
      <c r="F37" s="30">
        <f>IF(D$12=0,0,D37/D$12)</f>
        <v>0</v>
      </c>
      <c r="G37" s="15"/>
      <c r="H37" s="34">
        <f>SUM(H34:H36)</f>
        <v>-577</v>
      </c>
      <c r="I37" s="15"/>
      <c r="J37" s="30">
        <f>IF(H$12=0,0,H37/H$12)</f>
        <v>0</v>
      </c>
      <c r="K37" s="16"/>
      <c r="L37" s="34">
        <f>+D37-H37</f>
        <v>-0.36000000000001364</v>
      </c>
      <c r="M37" s="16"/>
      <c r="N37" s="30">
        <f>IF(H37=0,0,L37/H37)</f>
        <v>6.2391681109187809E-4</v>
      </c>
      <c r="O37" s="27"/>
      <c r="P37" s="34">
        <f>SUM(P34:P36)</f>
        <v>-4878.18</v>
      </c>
      <c r="Q37" s="15"/>
      <c r="R37" s="30">
        <f>IF(P$12=0,0,P37/P$12)</f>
        <v>0</v>
      </c>
      <c r="S37" s="15"/>
      <c r="T37" s="34">
        <f>SUM(T34:T36)</f>
        <v>-4616</v>
      </c>
      <c r="U37" s="15"/>
      <c r="V37" s="30">
        <f>IF(T$12=0,0,T37/T$12)</f>
        <v>0</v>
      </c>
      <c r="W37" s="16"/>
      <c r="X37" s="34">
        <f>+P37-T37</f>
        <v>-262.18000000000029</v>
      </c>
      <c r="Y37" s="16"/>
      <c r="Z37" s="30">
        <f>IF(T37=0,0,X37/T37)</f>
        <v>5.6798093587521727E-2</v>
      </c>
    </row>
    <row r="38" spans="1:26" ht="15" customHeight="1" x14ac:dyDescent="0.3">
      <c r="A38" s="10"/>
      <c r="C38" s="10"/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7">
        <v>44634.883430555557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6" t="s">
        <v>298</v>
      </c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A41" s="10"/>
      <c r="B41" s="54"/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  <row r="42" spans="1:26" ht="15" customHeight="1" x14ac:dyDescent="0.3">
      <c r="D42" s="19"/>
      <c r="E42" s="19"/>
      <c r="G42" s="19"/>
      <c r="H42" s="19"/>
      <c r="I42" s="19"/>
      <c r="J42" s="41"/>
      <c r="K42" s="19"/>
      <c r="L42" s="19"/>
      <c r="M42" s="19"/>
      <c r="P42" s="19"/>
      <c r="Q42" s="19"/>
      <c r="R42" s="41"/>
      <c r="S42" s="19"/>
      <c r="T42" s="19"/>
      <c r="U42" s="19"/>
      <c r="V42" s="41"/>
      <c r="W42" s="19"/>
      <c r="X42" s="19"/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69502-37EC-F3B2-F5AE-496625057904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","413"," - ","Beach Walk")</f>
        <v>Department 413 - Beach Walk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58.03</v>
      </c>
      <c r="E18" s="23"/>
      <c r="F18" s="29">
        <f t="shared" ref="F18:F24" si="0">IF(D$12=0,0,D18/D$12)</f>
        <v>0</v>
      </c>
      <c r="G18" s="23"/>
      <c r="H18" s="23" cm="1">
        <f t="array" ref="H18">SUM(OSRRefH22x_0)</f>
        <v>58</v>
      </c>
      <c r="I18" s="23"/>
      <c r="J18" s="29">
        <f t="shared" ref="J18:J24" si="1">IF(H$12=0,0,H18/H$12)</f>
        <v>0</v>
      </c>
      <c r="K18" s="5"/>
      <c r="L18" s="23">
        <f t="shared" ref="L18:L24" si="2">+D18-H18</f>
        <v>3.0000000000001137E-2</v>
      </c>
      <c r="M18" s="5"/>
      <c r="N18" s="29">
        <f t="shared" ref="N18:N24" si="3">IF(H18=0,0,L18/H18)</f>
        <v>5.1724137931036447E-4</v>
      </c>
      <c r="O18" s="11"/>
      <c r="P18" s="23" cm="1">
        <f t="array" ref="P18">SUM(OSRRefP22x_0)</f>
        <v>729.19</v>
      </c>
      <c r="Q18" s="23"/>
      <c r="R18" s="29">
        <f t="shared" ref="R18:R24" si="4">IF(P$12=0,0,P18/P$12)</f>
        <v>0</v>
      </c>
      <c r="S18" s="23"/>
      <c r="T18" s="23" cm="1">
        <f t="array" ref="T18">SUM(OSRRefT22x_0)</f>
        <v>464</v>
      </c>
      <c r="U18" s="23"/>
      <c r="V18" s="29">
        <f t="shared" ref="V18:V24" si="5">IF(T$12=0,0,T18/T$12)</f>
        <v>0</v>
      </c>
      <c r="W18" s="5"/>
      <c r="X18" s="23">
        <f t="shared" ref="X18:X24" si="6">+P18-T18</f>
        <v>265.19000000000005</v>
      </c>
      <c r="Y18" s="5"/>
      <c r="Z18" s="29">
        <f t="shared" ref="Z18:Z24" si="7">IF(T18=0,0,X18/T18)</f>
        <v>0.57153017241379322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58.03</v>
      </c>
      <c r="E19" s="2"/>
      <c r="F19" s="6">
        <f t="shared" si="0"/>
        <v>0</v>
      </c>
      <c r="G19" s="2"/>
      <c r="H19" s="2">
        <f>SUM(OSRRefH22_0x_0)</f>
        <v>58</v>
      </c>
      <c r="I19" s="2"/>
      <c r="J19" s="6">
        <f t="shared" si="1"/>
        <v>0</v>
      </c>
      <c r="K19" s="2"/>
      <c r="L19" s="2">
        <f t="shared" si="2"/>
        <v>3.0000000000001137E-2</v>
      </c>
      <c r="M19" s="2"/>
      <c r="N19" s="6">
        <f t="shared" si="3"/>
        <v>5.1724137931036447E-4</v>
      </c>
      <c r="O19" s="14"/>
      <c r="P19" s="2">
        <f>SUM(OSRRefP22_0x_0)</f>
        <v>464.24</v>
      </c>
      <c r="Q19" s="2"/>
      <c r="R19" s="6">
        <f t="shared" si="4"/>
        <v>0</v>
      </c>
      <c r="S19" s="2"/>
      <c r="T19" s="2">
        <f>SUM(OSRRefT22_0x_0)</f>
        <v>464</v>
      </c>
      <c r="U19" s="2"/>
      <c r="V19" s="6">
        <f t="shared" si="5"/>
        <v>0</v>
      </c>
      <c r="W19" s="2"/>
      <c r="X19" s="2">
        <f t="shared" si="6"/>
        <v>0.24000000000000909</v>
      </c>
      <c r="Y19" s="2"/>
      <c r="Z19" s="6">
        <f t="shared" si="7"/>
        <v>5.1724137931036447E-4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58.03</v>
      </c>
      <c r="E20" s="3"/>
      <c r="F20" s="7">
        <f t="shared" si="0"/>
        <v>0</v>
      </c>
      <c r="G20" s="3"/>
      <c r="H20" s="8">
        <v>58</v>
      </c>
      <c r="I20" s="3"/>
      <c r="J20" s="7">
        <f t="shared" si="1"/>
        <v>0</v>
      </c>
      <c r="K20" s="3"/>
      <c r="L20" s="8">
        <f t="shared" si="2"/>
        <v>3.0000000000001137E-2</v>
      </c>
      <c r="M20" s="3"/>
      <c r="N20" s="7">
        <f t="shared" si="3"/>
        <v>5.1724137931036447E-4</v>
      </c>
      <c r="O20" s="12"/>
      <c r="P20" s="8">
        <v>464.24</v>
      </c>
      <c r="Q20" s="3"/>
      <c r="R20" s="7">
        <f t="shared" si="4"/>
        <v>0</v>
      </c>
      <c r="S20" s="3"/>
      <c r="T20" s="8">
        <v>464</v>
      </c>
      <c r="U20" s="3"/>
      <c r="V20" s="7">
        <f t="shared" si="5"/>
        <v>0</v>
      </c>
      <c r="W20" s="3"/>
      <c r="X20" s="8">
        <f t="shared" si="6"/>
        <v>0.24000000000000909</v>
      </c>
      <c r="Y20" s="3"/>
      <c r="Z20" s="7">
        <f t="shared" si="7"/>
        <v>5.1724137931036447E-4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264.95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264.95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264.95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264.95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7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8" t="s">
        <v>292</v>
      </c>
      <c r="C28" s="28"/>
      <c r="D28" s="21">
        <f>+D16-D18+D26</f>
        <v>-58.03</v>
      </c>
      <c r="E28" s="15"/>
      <c r="F28" s="22">
        <f>IF(D$12=0,0,D28/D$12)</f>
        <v>0</v>
      </c>
      <c r="G28" s="15"/>
      <c r="H28" s="21">
        <f>+H16-H18+H26</f>
        <v>-58</v>
      </c>
      <c r="I28" s="15"/>
      <c r="J28" s="22">
        <f>IF(H$12=0,0,H28/H$12)</f>
        <v>0</v>
      </c>
      <c r="K28" s="16"/>
      <c r="L28" s="21">
        <f>+D28-H28</f>
        <v>-3.0000000000001137E-2</v>
      </c>
      <c r="M28" s="16"/>
      <c r="N28" s="22">
        <f>IF(H28=0,0,L28/H28)</f>
        <v>5.1724137931036447E-4</v>
      </c>
      <c r="O28" s="27"/>
      <c r="P28" s="21">
        <f>+P16-P18+P26</f>
        <v>-729.19</v>
      </c>
      <c r="Q28" s="15"/>
      <c r="R28" s="22">
        <f>IF(P$12=0,0,P28/P$12)</f>
        <v>0</v>
      </c>
      <c r="S28" s="15"/>
      <c r="T28" s="21">
        <f>+T16-T18+T26</f>
        <v>-464</v>
      </c>
      <c r="U28" s="15"/>
      <c r="V28" s="22">
        <f>IF(T$12=0,0,T28/T$12)</f>
        <v>0</v>
      </c>
      <c r="W28" s="16"/>
      <c r="X28" s="21">
        <f>+P28-T28</f>
        <v>-265.19000000000005</v>
      </c>
      <c r="Y28" s="16"/>
      <c r="Z28" s="22">
        <f>IF(T28=0,0,X28/T28)</f>
        <v>0.57153017241379322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8" t="s">
        <v>294</v>
      </c>
      <c r="C32" s="28"/>
      <c r="D32" s="33">
        <f>+D28-D30</f>
        <v>-58.03</v>
      </c>
      <c r="E32" s="15"/>
      <c r="F32" s="32">
        <f>IF(D$12=0,0,D32/D$12)</f>
        <v>0</v>
      </c>
      <c r="G32" s="15"/>
      <c r="H32" s="33">
        <f>+H28-H30</f>
        <v>-58</v>
      </c>
      <c r="I32" s="15"/>
      <c r="J32" s="32">
        <f>IF(H$12=0,0,H32/H$12)</f>
        <v>0</v>
      </c>
      <c r="K32" s="16"/>
      <c r="L32" s="33">
        <f>D32-H32</f>
        <v>-3.0000000000001137E-2</v>
      </c>
      <c r="M32" s="16"/>
      <c r="N32" s="32">
        <f>IF(H32=0,0,L32/H32)</f>
        <v>5.1724137931036447E-4</v>
      </c>
      <c r="O32" s="27"/>
      <c r="P32" s="33">
        <f>+P28-P30</f>
        <v>-729.19</v>
      </c>
      <c r="Q32" s="15"/>
      <c r="R32" s="32">
        <f>IF(P$12=0,0,P32/P$12)</f>
        <v>0</v>
      </c>
      <c r="S32" s="15"/>
      <c r="T32" s="33">
        <f>+T28-T30</f>
        <v>-464</v>
      </c>
      <c r="U32" s="15"/>
      <c r="V32" s="32">
        <f>IF(T$12=0,0,T32/T$12)</f>
        <v>0</v>
      </c>
      <c r="W32" s="16"/>
      <c r="X32" s="33">
        <f>P32-T32</f>
        <v>-265.19000000000005</v>
      </c>
      <c r="Y32" s="16"/>
      <c r="Z32" s="32">
        <f>IF(T32=0,0,X32/T32)</f>
        <v>0.57153017241379322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8" t="s">
        <v>297</v>
      </c>
      <c r="C35" s="28"/>
      <c r="D35" s="34">
        <f>SUM(D32:D34)</f>
        <v>-58.03</v>
      </c>
      <c r="E35" s="15"/>
      <c r="F35" s="30">
        <f>IF(D$12=0,0,D35/D$12)</f>
        <v>0</v>
      </c>
      <c r="G35" s="15"/>
      <c r="H35" s="34">
        <f>SUM(H32:H34)</f>
        <v>-58</v>
      </c>
      <c r="I35" s="15"/>
      <c r="J35" s="30">
        <f>IF(H$12=0,0,H35/H$12)</f>
        <v>0</v>
      </c>
      <c r="K35" s="16"/>
      <c r="L35" s="34">
        <f>+D35-H35</f>
        <v>-3.0000000000001137E-2</v>
      </c>
      <c r="M35" s="16"/>
      <c r="N35" s="30">
        <f>IF(H35=0,0,L35/H35)</f>
        <v>5.1724137931036447E-4</v>
      </c>
      <c r="O35" s="27"/>
      <c r="P35" s="34">
        <f>SUM(P32:P34)</f>
        <v>-729.19</v>
      </c>
      <c r="Q35" s="15"/>
      <c r="R35" s="30">
        <f>IF(P$12=0,0,P35/P$12)</f>
        <v>0</v>
      </c>
      <c r="S35" s="15"/>
      <c r="T35" s="34">
        <f>SUM(T32:T34)</f>
        <v>-464</v>
      </c>
      <c r="U35" s="15"/>
      <c r="V35" s="30">
        <f>IF(T$12=0,0,T35/T$12)</f>
        <v>0</v>
      </c>
      <c r="W35" s="16"/>
      <c r="X35" s="34">
        <f>+P35-T35</f>
        <v>-265.19000000000005</v>
      </c>
      <c r="Y35" s="16"/>
      <c r="Z35" s="30">
        <f>IF(T35=0,0,X35/T35)</f>
        <v>0.57153017241379322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0"/>
      <c r="B37" s="57">
        <v>44634.883430555557</v>
      </c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6" t="s">
        <v>298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4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492D2-B832-9E09-1B59-EE1D01A065D9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","414"," - ","Starbucks UDP")</f>
        <v>Department 414 - Starbucks UDP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0</v>
      </c>
      <c r="E18" s="23"/>
      <c r="F18" s="29">
        <f t="shared" ref="F18:F24" si="0">IF(D$12=0,0,D18/D$12)</f>
        <v>0</v>
      </c>
      <c r="G18" s="23"/>
      <c r="H18" s="23" cm="1">
        <f t="array" ref="H18">SUM(OSRRefH22x_0)</f>
        <v>0</v>
      </c>
      <c r="I18" s="23"/>
      <c r="J18" s="29">
        <f t="shared" ref="J18:J24" si="1">IF(H$12=0,0,H18/H$12)</f>
        <v>0</v>
      </c>
      <c r="K18" s="5"/>
      <c r="L18" s="23">
        <f t="shared" ref="L18:L24" si="2">+D18-H18</f>
        <v>0</v>
      </c>
      <c r="M18" s="5"/>
      <c r="N18" s="29">
        <f t="shared" ref="N18:N24" si="3">IF(H18=0,0,L18/H18)</f>
        <v>0</v>
      </c>
      <c r="O18" s="11"/>
      <c r="P18" s="23" cm="1">
        <f t="array" ref="P18">SUM(OSRRefP22x_0)</f>
        <v>310.49</v>
      </c>
      <c r="Q18" s="23"/>
      <c r="R18" s="29">
        <f t="shared" ref="R18:R24" si="4">IF(P$12=0,0,P18/P$12)</f>
        <v>0</v>
      </c>
      <c r="S18" s="23"/>
      <c r="T18" s="23" cm="1">
        <f t="array" ref="T18">SUM(OSRRefT22x_0)</f>
        <v>0</v>
      </c>
      <c r="U18" s="23"/>
      <c r="V18" s="29">
        <f t="shared" ref="V18:V24" si="5">IF(T$12=0,0,T18/T$12)</f>
        <v>0</v>
      </c>
      <c r="W18" s="5"/>
      <c r="X18" s="23">
        <f t="shared" ref="X18:X24" si="6">+P18-T18</f>
        <v>310.49</v>
      </c>
      <c r="Y18" s="5"/>
      <c r="Z18" s="29">
        <f t="shared" ref="Z18:Z24" si="7"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","Equipment Rental                                  ")</f>
        <v xml:space="preserve">     Equipment Rental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118.91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118.91</v>
      </c>
      <c r="Y19" s="2"/>
      <c r="Z19" s="6">
        <f t="shared" si="7"/>
        <v>0</v>
      </c>
    </row>
    <row r="20" spans="1:26" s="70" customFormat="1" ht="15" hidden="1" customHeight="1" outlineLevel="2" x14ac:dyDescent="0.3">
      <c r="A20" s="26"/>
      <c r="B20" s="12" t="str">
        <f>CONCATENATE("          ","6351"," - ","EQUIPMENT RENTAL")</f>
        <v xml:space="preserve">          6351 - EQUIPMENT RENTAL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118.91</v>
      </c>
      <c r="Q20" s="3"/>
      <c r="R20" s="7">
        <f t="shared" si="4"/>
        <v>0</v>
      </c>
      <c r="S20" s="3"/>
      <c r="T20" s="8"/>
      <c r="U20" s="3"/>
      <c r="V20" s="7">
        <f t="shared" si="5"/>
        <v>0</v>
      </c>
      <c r="W20" s="3"/>
      <c r="X20" s="8">
        <f t="shared" si="6"/>
        <v>118.91</v>
      </c>
      <c r="Y20" s="3"/>
      <c r="Z20" s="7">
        <f t="shared" si="7"/>
        <v>0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191.58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191.58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191.58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191.58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7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8" t="s">
        <v>292</v>
      </c>
      <c r="C28" s="28"/>
      <c r="D28" s="21">
        <f>+D16-D18+D26</f>
        <v>0</v>
      </c>
      <c r="E28" s="15"/>
      <c r="F28" s="22">
        <f>IF(D$12=0,0,D28/D$12)</f>
        <v>0</v>
      </c>
      <c r="G28" s="15"/>
      <c r="H28" s="21">
        <f>+H16-H18+H26</f>
        <v>0</v>
      </c>
      <c r="I28" s="15"/>
      <c r="J28" s="22">
        <f>IF(H$12=0,0,H28/H$12)</f>
        <v>0</v>
      </c>
      <c r="K28" s="16"/>
      <c r="L28" s="21">
        <f>+D28-H28</f>
        <v>0</v>
      </c>
      <c r="M28" s="16"/>
      <c r="N28" s="22">
        <f>IF(H28=0,0,L28/H28)</f>
        <v>0</v>
      </c>
      <c r="O28" s="27"/>
      <c r="P28" s="21">
        <f>+P16-P18+P26</f>
        <v>-310.49</v>
      </c>
      <c r="Q28" s="15"/>
      <c r="R28" s="22">
        <f>IF(P$12=0,0,P28/P$12)</f>
        <v>0</v>
      </c>
      <c r="S28" s="15"/>
      <c r="T28" s="21">
        <f>+T16-T18+T26</f>
        <v>0</v>
      </c>
      <c r="U28" s="15"/>
      <c r="V28" s="22">
        <f>IF(T$12=0,0,T28/T$12)</f>
        <v>0</v>
      </c>
      <c r="W28" s="16"/>
      <c r="X28" s="21">
        <f>+P28-T28</f>
        <v>-310.49</v>
      </c>
      <c r="Y28" s="16"/>
      <c r="Z28" s="22">
        <f>IF(T28=0,0,X28/T28)</f>
        <v>0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8" t="s">
        <v>294</v>
      </c>
      <c r="C32" s="28"/>
      <c r="D32" s="33">
        <f>+D28-D30</f>
        <v>0</v>
      </c>
      <c r="E32" s="15"/>
      <c r="F32" s="32">
        <f>IF(D$12=0,0,D32/D$12)</f>
        <v>0</v>
      </c>
      <c r="G32" s="15"/>
      <c r="H32" s="33">
        <f>+H28-H30</f>
        <v>0</v>
      </c>
      <c r="I32" s="15"/>
      <c r="J32" s="32">
        <f>IF(H$12=0,0,H32/H$12)</f>
        <v>0</v>
      </c>
      <c r="K32" s="16"/>
      <c r="L32" s="33">
        <f>D32-H32</f>
        <v>0</v>
      </c>
      <c r="M32" s="16"/>
      <c r="N32" s="32">
        <f>IF(H32=0,0,L32/H32)</f>
        <v>0</v>
      </c>
      <c r="O32" s="27"/>
      <c r="P32" s="33">
        <f>+P28-P30</f>
        <v>-310.49</v>
      </c>
      <c r="Q32" s="15"/>
      <c r="R32" s="32">
        <f>IF(P$12=0,0,P32/P$12)</f>
        <v>0</v>
      </c>
      <c r="S32" s="15"/>
      <c r="T32" s="33">
        <f>+T28-T30</f>
        <v>0</v>
      </c>
      <c r="U32" s="15"/>
      <c r="V32" s="32">
        <f>IF(T$12=0,0,T32/T$12)</f>
        <v>0</v>
      </c>
      <c r="W32" s="16"/>
      <c r="X32" s="33">
        <f>P32-T32</f>
        <v>-310.49</v>
      </c>
      <c r="Y32" s="16"/>
      <c r="Z32" s="32">
        <f>IF(T32=0,0,X32/T32)</f>
        <v>0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8" t="s">
        <v>297</v>
      </c>
      <c r="C35" s="28"/>
      <c r="D35" s="34">
        <f>SUM(D32:D34)</f>
        <v>0</v>
      </c>
      <c r="E35" s="15"/>
      <c r="F35" s="30">
        <f>IF(D$12=0,0,D35/D$12)</f>
        <v>0</v>
      </c>
      <c r="G35" s="15"/>
      <c r="H35" s="34">
        <f>SUM(H32:H34)</f>
        <v>0</v>
      </c>
      <c r="I35" s="15"/>
      <c r="J35" s="30">
        <f>IF(H$12=0,0,H35/H$12)</f>
        <v>0</v>
      </c>
      <c r="K35" s="16"/>
      <c r="L35" s="34">
        <f>+D35-H35</f>
        <v>0</v>
      </c>
      <c r="M35" s="16"/>
      <c r="N35" s="30">
        <f>IF(H35=0,0,L35/H35)</f>
        <v>0</v>
      </c>
      <c r="O35" s="27"/>
      <c r="P35" s="34">
        <f>SUM(P32:P34)</f>
        <v>-310.49</v>
      </c>
      <c r="Q35" s="15"/>
      <c r="R35" s="30">
        <f>IF(P$12=0,0,P35/P$12)</f>
        <v>0</v>
      </c>
      <c r="S35" s="15"/>
      <c r="T35" s="34">
        <f>SUM(T32:T34)</f>
        <v>0</v>
      </c>
      <c r="U35" s="15"/>
      <c r="V35" s="30">
        <f>IF(T$12=0,0,T35/T$12)</f>
        <v>0</v>
      </c>
      <c r="W35" s="16"/>
      <c r="X35" s="34">
        <f>+P35-T35</f>
        <v>-310.49</v>
      </c>
      <c r="Y35" s="16"/>
      <c r="Z35" s="30">
        <f>IF(T35=0,0,X35/T35)</f>
        <v>0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0"/>
      <c r="B37" s="57">
        <v>44634.883430555557</v>
      </c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6" t="s">
        <v>298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4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7566-A9A3-1668-FFB3-F986C9CE950A}">
  <sheetPr>
    <tabColor rgb="FF92D050"/>
    <outlinePr summaryBelow="0" summaryRight="0"/>
  </sheetPr>
  <dimension ref="A2:Z10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","415"," - ","Outpost")</f>
        <v>Department 415 - Outpost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122000.78</v>
      </c>
      <c r="E12" s="5"/>
      <c r="F12" s="13"/>
      <c r="G12" s="5"/>
      <c r="H12" s="5">
        <f>SUM(OSRRefH13x_0)</f>
        <v>138641</v>
      </c>
      <c r="I12" s="5"/>
      <c r="J12" s="13"/>
      <c r="K12" s="5"/>
      <c r="L12" s="5">
        <f>+D12-H12</f>
        <v>-16640.22</v>
      </c>
      <c r="M12" s="5"/>
      <c r="N12" s="13">
        <f>IF(H12=0,0,L12/H12)</f>
        <v>-0.12002380248267108</v>
      </c>
      <c r="O12" s="11"/>
      <c r="P12" s="5">
        <f>SUM(OSRRefP13x_0)</f>
        <v>441496.5</v>
      </c>
      <c r="Q12" s="5"/>
      <c r="R12" s="13"/>
      <c r="S12" s="5"/>
      <c r="T12" s="5">
        <f>SUM(OSRRefT13x_0)</f>
        <v>325425</v>
      </c>
      <c r="U12" s="5"/>
      <c r="V12" s="13"/>
      <c r="W12" s="5"/>
      <c r="X12" s="5">
        <f>+P12-T12</f>
        <v>116071.5</v>
      </c>
      <c r="Y12" s="5"/>
      <c r="Z12" s="13">
        <f>IF(T12=0,0,X12/T12)</f>
        <v>0.35667665360682183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43121</v>
      </c>
      <c r="I13" s="3"/>
      <c r="J13" s="20"/>
      <c r="K13" s="3"/>
      <c r="L13" s="3">
        <f>+D13-H13</f>
        <v>-43121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101216</v>
      </c>
      <c r="U13" s="3"/>
      <c r="V13" s="20"/>
      <c r="W13" s="3"/>
      <c r="X13" s="3">
        <f>+P13-T13</f>
        <v>-101216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--36524.87</f>
        <v>36524.870000000003</v>
      </c>
      <c r="E14" s="3"/>
      <c r="F14" s="20"/>
      <c r="G14" s="3"/>
      <c r="H14" s="3"/>
      <c r="I14" s="3"/>
      <c r="J14" s="20"/>
      <c r="K14" s="3"/>
      <c r="L14" s="3">
        <f>+D14-H14</f>
        <v>36524.870000000003</v>
      </c>
      <c r="M14" s="3"/>
      <c r="N14" s="20">
        <f>IF(H14=0,0,L14/H14)</f>
        <v>0</v>
      </c>
      <c r="O14" s="12"/>
      <c r="P14" s="3">
        <f>--162181.07</f>
        <v>162181.07</v>
      </c>
      <c r="Q14" s="3"/>
      <c r="R14" s="20"/>
      <c r="S14" s="3"/>
      <c r="T14" s="3"/>
      <c r="U14" s="3"/>
      <c r="V14" s="20"/>
      <c r="W14" s="3"/>
      <c r="X14" s="3">
        <f>+P14-T14</f>
        <v>162181.07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95520</v>
      </c>
      <c r="I15" s="3"/>
      <c r="J15" s="20"/>
      <c r="K15" s="3"/>
      <c r="L15" s="3">
        <f>+D15-H15</f>
        <v>-95520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224209</v>
      </c>
      <c r="U15" s="3"/>
      <c r="V15" s="20"/>
      <c r="W15" s="3"/>
      <c r="X15" s="3">
        <f>+P15-T15</f>
        <v>-224209</v>
      </c>
      <c r="Y15" s="3"/>
      <c r="Z15" s="20">
        <f>IF(T15=0,0,X15/T15)</f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--85475.91</f>
        <v>85475.91</v>
      </c>
      <c r="E16" s="3"/>
      <c r="F16" s="20"/>
      <c r="G16" s="3"/>
      <c r="H16" s="3"/>
      <c r="I16" s="3"/>
      <c r="J16" s="20"/>
      <c r="K16" s="3"/>
      <c r="L16" s="3">
        <f>+D16-H16</f>
        <v>85475.91</v>
      </c>
      <c r="M16" s="3"/>
      <c r="N16" s="20">
        <f>IF(H16=0,0,L16/H16)</f>
        <v>0</v>
      </c>
      <c r="O16" s="12"/>
      <c r="P16" s="3">
        <f>--279315.43</f>
        <v>279315.43</v>
      </c>
      <c r="Q16" s="3"/>
      <c r="R16" s="20"/>
      <c r="S16" s="3"/>
      <c r="T16" s="3"/>
      <c r="U16" s="3"/>
      <c r="V16" s="20"/>
      <c r="W16" s="3"/>
      <c r="X16" s="3">
        <f>+P16-T16</f>
        <v>279315.43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38737.11</v>
      </c>
      <c r="E18" s="5"/>
      <c r="F18" s="13">
        <f>IF(D$12=0,0,D18/D$12)</f>
        <v>0.31751526506633809</v>
      </c>
      <c r="G18" s="5"/>
      <c r="H18" s="5">
        <f>SUM(OSRRefH16x_0)</f>
        <v>42979</v>
      </c>
      <c r="I18" s="5"/>
      <c r="J18" s="13">
        <f>IF(H$12=0,0,H18/H$12)</f>
        <v>0.31000209173332566</v>
      </c>
      <c r="K18" s="5"/>
      <c r="L18" s="5">
        <f>+D18-H18</f>
        <v>-4241.8899999999994</v>
      </c>
      <c r="M18" s="5"/>
      <c r="N18" s="13">
        <f>IF(H18=0,0,L18/H18)</f>
        <v>-9.8696805416598796E-2</v>
      </c>
      <c r="O18" s="11"/>
      <c r="P18" s="5">
        <f>SUM(OSRRefP16x_0)</f>
        <v>153589.9</v>
      </c>
      <c r="Q18" s="5"/>
      <c r="R18" s="13">
        <f>IF(P$12=0,0,P18/P$12)</f>
        <v>0.34788475106824174</v>
      </c>
      <c r="S18" s="5"/>
      <c r="T18" s="5">
        <f>SUM(OSRRefT16x_0)</f>
        <v>103217</v>
      </c>
      <c r="U18" s="5"/>
      <c r="V18" s="13">
        <f>IF(T$12=0,0,T18/T$12)</f>
        <v>0.31717600061458096</v>
      </c>
      <c r="W18" s="5"/>
      <c r="X18" s="5">
        <f>+P18-T18</f>
        <v>50372.899999999994</v>
      </c>
      <c r="Y18" s="5"/>
      <c r="Z18" s="13">
        <f>IF(T18=0,0,X18/T18)</f>
        <v>0.48802910373291214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42979</v>
      </c>
      <c r="I19" s="3"/>
      <c r="J19" s="20">
        <f>IF(H$12=0,0,H19/H$12)</f>
        <v>0.31000209173332566</v>
      </c>
      <c r="K19" s="3"/>
      <c r="L19" s="3">
        <f>+D19-H19</f>
        <v>-42979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103217</v>
      </c>
      <c r="U19" s="3"/>
      <c r="V19" s="20">
        <f>IF(T$12=0,0,T19/T$12)</f>
        <v>0.31717600061458096</v>
      </c>
      <c r="W19" s="3"/>
      <c r="X19" s="3">
        <f>+P19-T19</f>
        <v>-103217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41817.35</v>
      </c>
      <c r="E20" s="3"/>
      <c r="F20" s="20">
        <f>IF(D$12=0,0,D20/D$12)</f>
        <v>0.34276297249902826</v>
      </c>
      <c r="G20" s="3"/>
      <c r="H20" s="3"/>
      <c r="I20" s="3"/>
      <c r="J20" s="20">
        <f>IF(H$12=0,0,H20/H$12)</f>
        <v>0</v>
      </c>
      <c r="K20" s="3"/>
      <c r="L20" s="3">
        <f>+D20-H20</f>
        <v>41817.35</v>
      </c>
      <c r="M20" s="3"/>
      <c r="N20" s="20">
        <f>IF(H20=0,0,L20/H20)</f>
        <v>0</v>
      </c>
      <c r="O20" s="12"/>
      <c r="P20" s="3">
        <v>160871.13</v>
      </c>
      <c r="Q20" s="3"/>
      <c r="R20" s="20">
        <f>IF(P$12=0,0,P20/P$12)</f>
        <v>0.36437690899021852</v>
      </c>
      <c r="S20" s="3"/>
      <c r="T20" s="3"/>
      <c r="U20" s="3"/>
      <c r="V20" s="20">
        <f>IF(T$12=0,0,T20/T$12)</f>
        <v>0</v>
      </c>
      <c r="W20" s="3"/>
      <c r="X20" s="3">
        <f>+P20-T20</f>
        <v>160871.13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-3080.24</v>
      </c>
      <c r="E21" s="3"/>
      <c r="F21" s="20">
        <f>IF(D$12=0,0,D21/D$12)</f>
        <v>-2.5247707432690183E-2</v>
      </c>
      <c r="G21" s="3"/>
      <c r="H21" s="3"/>
      <c r="I21" s="3"/>
      <c r="J21" s="20">
        <f>IF(H$12=0,0,H21/H$12)</f>
        <v>0</v>
      </c>
      <c r="K21" s="3"/>
      <c r="L21" s="3">
        <f>+D21-H21</f>
        <v>-3080.24</v>
      </c>
      <c r="M21" s="3"/>
      <c r="N21" s="20">
        <f>IF(H21=0,0,L21/H21)</f>
        <v>0</v>
      </c>
      <c r="O21" s="12"/>
      <c r="P21" s="3">
        <v>-7281.23</v>
      </c>
      <c r="Q21" s="3"/>
      <c r="R21" s="20">
        <f>IF(P$12=0,0,P21/P$12)</f>
        <v>-1.6492157921976731E-2</v>
      </c>
      <c r="S21" s="3"/>
      <c r="T21" s="3"/>
      <c r="U21" s="3"/>
      <c r="V21" s="20">
        <f>IF(T$12=0,0,T21/T$12)</f>
        <v>0</v>
      </c>
      <c r="W21" s="3"/>
      <c r="X21" s="3">
        <f>+P21-T21</f>
        <v>-7281.23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D12-D18</f>
        <v>83263.67</v>
      </c>
      <c r="E23" s="15"/>
      <c r="F23" s="22">
        <f>IF(D$12=0,0,D23/D$12)</f>
        <v>0.68248473493366191</v>
      </c>
      <c r="G23" s="15"/>
      <c r="H23" s="21">
        <f>H12-H18</f>
        <v>95662</v>
      </c>
      <c r="I23" s="15"/>
      <c r="J23" s="22">
        <f>IF(H$12=0,0,H23/H$12)</f>
        <v>0.6899979082666744</v>
      </c>
      <c r="K23" s="16"/>
      <c r="L23" s="21">
        <f>+D23-H23</f>
        <v>-12398.330000000002</v>
      </c>
      <c r="M23" s="16"/>
      <c r="N23" s="22">
        <f>IF(H23=0,0,L23/H23)</f>
        <v>-0.12960559051661058</v>
      </c>
      <c r="O23" s="27"/>
      <c r="P23" s="21">
        <f>P12-P18</f>
        <v>287906.59999999998</v>
      </c>
      <c r="Q23" s="15"/>
      <c r="R23" s="22">
        <f>IF(P$12=0,0,P23/P$12)</f>
        <v>0.65211524893175821</v>
      </c>
      <c r="S23" s="15"/>
      <c r="T23" s="21">
        <f>T12-T18</f>
        <v>222208</v>
      </c>
      <c r="U23" s="15"/>
      <c r="V23" s="22">
        <f>IF(T$12=0,0,T23/T$12)</f>
        <v>0.68282399938541904</v>
      </c>
      <c r="W23" s="16"/>
      <c r="X23" s="21">
        <f>+P23-T23</f>
        <v>65698.599999999977</v>
      </c>
      <c r="Y23" s="16"/>
      <c r="Z23" s="22">
        <f>IF(T23=0,0,X23/T23)</f>
        <v>0.29566262240783397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87688.010000000009</v>
      </c>
      <c r="E25" s="23"/>
      <c r="F25" s="29">
        <f t="shared" ref="F25:F56" si="0">IF(D$12=0,0,D25/D$12)</f>
        <v>0.71874958504363673</v>
      </c>
      <c r="G25" s="23"/>
      <c r="H25" s="23" cm="1">
        <f t="array" ref="H25">SUM(OSRRefH22x_0)</f>
        <v>65015.449323703077</v>
      </c>
      <c r="I25" s="23"/>
      <c r="J25" s="29">
        <f t="shared" ref="J25:J56" si="1">IF(H$12=0,0,H25/H$12)</f>
        <v>0.46894821390283592</v>
      </c>
      <c r="K25" s="5"/>
      <c r="L25" s="23">
        <f t="shared" ref="L25:L56" si="2">+D25-H25</f>
        <v>22672.560676296933</v>
      </c>
      <c r="M25" s="5"/>
      <c r="N25" s="29">
        <f t="shared" ref="N25:N56" si="3">IF(H25=0,0,L25/H25)</f>
        <v>0.34872573999163398</v>
      </c>
      <c r="O25" s="11"/>
      <c r="P25" s="23" cm="1">
        <f t="array" ref="P25">SUM(OSRRefP22x_0)</f>
        <v>602803.02000000014</v>
      </c>
      <c r="Q25" s="23"/>
      <c r="R25" s="29">
        <f t="shared" ref="R25:R56" si="4">IF(P$12=0,0,P25/P$12)</f>
        <v>1.3653630776234922</v>
      </c>
      <c r="S25" s="23"/>
      <c r="T25" s="23" cm="1">
        <f t="array" ref="T25">SUM(OSRRefT22x_0)</f>
        <v>456684.85626574734</v>
      </c>
      <c r="U25" s="23"/>
      <c r="V25" s="29">
        <f t="shared" ref="V25:V56" si="5">IF(T$12=0,0,T25/T$12)</f>
        <v>1.4033490244011595</v>
      </c>
      <c r="W25" s="5"/>
      <c r="X25" s="23">
        <f t="shared" ref="X25:X56" si="6">+P25-T25</f>
        <v>146118.1637342528</v>
      </c>
      <c r="Y25" s="5"/>
      <c r="Z25" s="29">
        <f t="shared" ref="Z25:Z56" si="7">IF(T25=0,0,X25/T25)</f>
        <v>0.31995403773412157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12170.800000000001</v>
      </c>
      <c r="E26" s="2"/>
      <c r="F26" s="6">
        <f t="shared" si="0"/>
        <v>9.9760017927754241E-2</v>
      </c>
      <c r="G26" s="2"/>
      <c r="H26" s="2">
        <f>SUM(OSRRefH22_0x_0)</f>
        <v>6862.9796237030787</v>
      </c>
      <c r="I26" s="2"/>
      <c r="J26" s="6">
        <f t="shared" si="1"/>
        <v>4.9501804110638835E-2</v>
      </c>
      <c r="K26" s="2"/>
      <c r="L26" s="2">
        <f t="shared" si="2"/>
        <v>5307.8203762969224</v>
      </c>
      <c r="M26" s="2"/>
      <c r="N26" s="6">
        <f t="shared" si="3"/>
        <v>0.77339882490179468</v>
      </c>
      <c r="O26" s="14"/>
      <c r="P26" s="2">
        <f>SUM(OSRRefP22_0x_0)</f>
        <v>101842.73000000001</v>
      </c>
      <c r="Q26" s="2"/>
      <c r="R26" s="6">
        <f t="shared" si="4"/>
        <v>0.230676188825959</v>
      </c>
      <c r="S26" s="2"/>
      <c r="T26" s="2">
        <f>SUM(OSRRefT22_0x_0)</f>
        <v>51816.362440747296</v>
      </c>
      <c r="U26" s="2"/>
      <c r="V26" s="6">
        <f t="shared" si="5"/>
        <v>0.15922674177075299</v>
      </c>
      <c r="W26" s="2"/>
      <c r="X26" s="2">
        <f t="shared" si="6"/>
        <v>50026.367559252714</v>
      </c>
      <c r="Y26" s="2"/>
      <c r="Z26" s="6">
        <f t="shared" si="7"/>
        <v>0.96545502622764257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1803.29</v>
      </c>
      <c r="E27" s="3"/>
      <c r="F27" s="7">
        <f t="shared" si="0"/>
        <v>1.4780971072480028E-2</v>
      </c>
      <c r="G27" s="3"/>
      <c r="H27" s="8">
        <v>998.71083678000002</v>
      </c>
      <c r="I27" s="3"/>
      <c r="J27" s="7">
        <f t="shared" si="1"/>
        <v>7.2035749654142719E-3</v>
      </c>
      <c r="K27" s="3"/>
      <c r="L27" s="8">
        <f t="shared" si="2"/>
        <v>804.57916321999994</v>
      </c>
      <c r="M27" s="3"/>
      <c r="N27" s="7">
        <f t="shared" si="3"/>
        <v>0.80561773597459807</v>
      </c>
      <c r="O27" s="12"/>
      <c r="P27" s="8">
        <v>13606.82</v>
      </c>
      <c r="Q27" s="3"/>
      <c r="R27" s="7">
        <f t="shared" si="4"/>
        <v>3.0819768673137838E-2</v>
      </c>
      <c r="S27" s="3"/>
      <c r="T27" s="8">
        <v>7412.6072930549999</v>
      </c>
      <c r="U27" s="3"/>
      <c r="V27" s="7">
        <f t="shared" si="5"/>
        <v>2.2778235516801106E-2</v>
      </c>
      <c r="W27" s="3"/>
      <c r="X27" s="8">
        <f t="shared" si="6"/>
        <v>6194.2127069449998</v>
      </c>
      <c r="Y27" s="3"/>
      <c r="Z27" s="7">
        <f t="shared" si="7"/>
        <v>0.83563211459326392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1138.8699999999999</v>
      </c>
      <c r="E28" s="3"/>
      <c r="F28" s="7">
        <f t="shared" si="0"/>
        <v>9.33494031759469E-3</v>
      </c>
      <c r="G28" s="3"/>
      <c r="H28" s="8">
        <v>770.94061390000002</v>
      </c>
      <c r="I28" s="3"/>
      <c r="J28" s="7">
        <f t="shared" si="1"/>
        <v>5.5606971523575275E-3</v>
      </c>
      <c r="K28" s="3"/>
      <c r="L28" s="8">
        <f t="shared" si="2"/>
        <v>367.92938609999987</v>
      </c>
      <c r="M28" s="3"/>
      <c r="N28" s="7">
        <f t="shared" si="3"/>
        <v>0.47724737738064554</v>
      </c>
      <c r="O28" s="12"/>
      <c r="P28" s="8">
        <v>7628.99</v>
      </c>
      <c r="Q28" s="3"/>
      <c r="R28" s="7">
        <f t="shared" si="4"/>
        <v>1.7279842535558039E-2</v>
      </c>
      <c r="S28" s="3"/>
      <c r="T28" s="8">
        <v>5001.3625856500003</v>
      </c>
      <c r="U28" s="3"/>
      <c r="V28" s="7">
        <f t="shared" si="5"/>
        <v>1.5368710411461935E-2</v>
      </c>
      <c r="W28" s="3"/>
      <c r="X28" s="8">
        <f t="shared" si="6"/>
        <v>2627.6274143499995</v>
      </c>
      <c r="Y28" s="3"/>
      <c r="Z28" s="7">
        <f t="shared" si="7"/>
        <v>0.52538230719149126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6152.38</v>
      </c>
      <c r="E29" s="3"/>
      <c r="F29" s="7">
        <f t="shared" si="0"/>
        <v>5.0429021847237375E-2</v>
      </c>
      <c r="G29" s="3"/>
      <c r="H29" s="8">
        <v>3801.9230769230799</v>
      </c>
      <c r="I29" s="3"/>
      <c r="J29" s="7">
        <f t="shared" si="1"/>
        <v>2.7422790350062967E-2</v>
      </c>
      <c r="K29" s="3"/>
      <c r="L29" s="8">
        <f t="shared" si="2"/>
        <v>2350.4569230769202</v>
      </c>
      <c r="M29" s="3"/>
      <c r="N29" s="7">
        <f t="shared" si="3"/>
        <v>0.61822842690945756</v>
      </c>
      <c r="O29" s="12"/>
      <c r="P29" s="8">
        <v>49610.32</v>
      </c>
      <c r="Q29" s="3"/>
      <c r="R29" s="7">
        <f t="shared" si="4"/>
        <v>0.11236854652301886</v>
      </c>
      <c r="S29" s="3"/>
      <c r="T29" s="8">
        <v>29046.692307692301</v>
      </c>
      <c r="U29" s="3"/>
      <c r="V29" s="7">
        <f t="shared" si="5"/>
        <v>8.9257716240892071E-2</v>
      </c>
      <c r="W29" s="3"/>
      <c r="X29" s="8">
        <f t="shared" si="6"/>
        <v>20563.627692307698</v>
      </c>
      <c r="Y29" s="3"/>
      <c r="Z29" s="7">
        <f t="shared" si="7"/>
        <v>0.70795075303159138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82.25</v>
      </c>
      <c r="E30" s="3"/>
      <c r="F30" s="7">
        <f t="shared" si="0"/>
        <v>6.7417601756316638E-4</v>
      </c>
      <c r="G30" s="3"/>
      <c r="H30" s="8">
        <v>42.717026099999998</v>
      </c>
      <c r="I30" s="3"/>
      <c r="J30" s="7">
        <f t="shared" si="1"/>
        <v>3.0811250712271262E-4</v>
      </c>
      <c r="K30" s="3"/>
      <c r="L30" s="8">
        <f t="shared" si="2"/>
        <v>39.532973900000002</v>
      </c>
      <c r="M30" s="3"/>
      <c r="N30" s="7">
        <f t="shared" si="3"/>
        <v>0.92546175399602559</v>
      </c>
      <c r="O30" s="12"/>
      <c r="P30" s="8">
        <v>550.99</v>
      </c>
      <c r="Q30" s="3"/>
      <c r="R30" s="7">
        <f t="shared" si="4"/>
        <v>1.2480053635759286E-3</v>
      </c>
      <c r="S30" s="3"/>
      <c r="T30" s="8">
        <v>277.12035435000001</v>
      </c>
      <c r="U30" s="3"/>
      <c r="V30" s="7">
        <f t="shared" si="5"/>
        <v>8.515644291311363E-4</v>
      </c>
      <c r="W30" s="3"/>
      <c r="X30" s="8">
        <f t="shared" si="6"/>
        <v>273.86964565</v>
      </c>
      <c r="Y30" s="3"/>
      <c r="Z30" s="7">
        <f t="shared" si="7"/>
        <v>0.9882696862609579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398.51</v>
      </c>
      <c r="E31" s="3"/>
      <c r="F31" s="7">
        <f t="shared" si="0"/>
        <v>3.2664545259464732E-3</v>
      </c>
      <c r="G31" s="3"/>
      <c r="H31" s="8">
        <v>437.49662000000001</v>
      </c>
      <c r="I31" s="3"/>
      <c r="J31" s="7">
        <f t="shared" si="1"/>
        <v>3.1556077927885691E-3</v>
      </c>
      <c r="K31" s="3"/>
      <c r="L31" s="8">
        <f t="shared" si="2"/>
        <v>-38.986620000000016</v>
      </c>
      <c r="M31" s="3"/>
      <c r="N31" s="7">
        <f t="shared" si="3"/>
        <v>-8.9112962747003657E-2</v>
      </c>
      <c r="O31" s="12"/>
      <c r="P31" s="8">
        <v>6525.63</v>
      </c>
      <c r="Q31" s="3"/>
      <c r="R31" s="7">
        <f t="shared" si="4"/>
        <v>1.4780706075812606E-2</v>
      </c>
      <c r="S31" s="3"/>
      <c r="T31" s="8">
        <v>3828.095425</v>
      </c>
      <c r="U31" s="3"/>
      <c r="V31" s="7">
        <f t="shared" si="5"/>
        <v>1.1763372282399938E-2</v>
      </c>
      <c r="W31" s="3"/>
      <c r="X31" s="8">
        <f t="shared" si="6"/>
        <v>2697.5345750000001</v>
      </c>
      <c r="Y31" s="3"/>
      <c r="Z31" s="7">
        <f t="shared" si="7"/>
        <v>0.70466753712128272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8">
        <v>1009.06</v>
      </c>
      <c r="E33" s="3"/>
      <c r="F33" s="7">
        <f t="shared" si="0"/>
        <v>8.2709307268363369E-3</v>
      </c>
      <c r="G33" s="3"/>
      <c r="H33" s="8">
        <v>252.58278000000001</v>
      </c>
      <c r="I33" s="3"/>
      <c r="J33" s="7">
        <f t="shared" si="1"/>
        <v>1.8218476496851582E-3</v>
      </c>
      <c r="K33" s="3"/>
      <c r="L33" s="8">
        <f t="shared" si="2"/>
        <v>756.47721999999999</v>
      </c>
      <c r="M33" s="3"/>
      <c r="N33" s="7">
        <f t="shared" si="3"/>
        <v>2.9949675112452239</v>
      </c>
      <c r="O33" s="12"/>
      <c r="P33" s="8">
        <v>9934.98</v>
      </c>
      <c r="Q33" s="3"/>
      <c r="R33" s="7">
        <f t="shared" si="4"/>
        <v>2.2502964349660756E-2</v>
      </c>
      <c r="S33" s="3"/>
      <c r="T33" s="8">
        <v>2060.1478050000001</v>
      </c>
      <c r="U33" s="3"/>
      <c r="V33" s="7">
        <f t="shared" si="5"/>
        <v>6.3306377967273569E-3</v>
      </c>
      <c r="W33" s="3"/>
      <c r="X33" s="8">
        <f t="shared" si="6"/>
        <v>7874.832194999999</v>
      </c>
      <c r="Y33" s="3"/>
      <c r="Z33" s="7">
        <f t="shared" si="7"/>
        <v>3.822459813751081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8">
        <v>735.66</v>
      </c>
      <c r="E34" s="3"/>
      <c r="F34" s="7">
        <f t="shared" si="0"/>
        <v>6.0299614477874646E-3</v>
      </c>
      <c r="G34" s="3"/>
      <c r="H34" s="8">
        <v>287.60867000000002</v>
      </c>
      <c r="I34" s="3"/>
      <c r="J34" s="7">
        <f t="shared" si="1"/>
        <v>2.074484964765113E-3</v>
      </c>
      <c r="K34" s="3"/>
      <c r="L34" s="8">
        <f t="shared" si="2"/>
        <v>448.05132999999995</v>
      </c>
      <c r="M34" s="3"/>
      <c r="N34" s="7">
        <f t="shared" si="3"/>
        <v>1.5578505682738977</v>
      </c>
      <c r="O34" s="12"/>
      <c r="P34" s="8">
        <v>8207.27</v>
      </c>
      <c r="Q34" s="3"/>
      <c r="R34" s="7">
        <f t="shared" si="4"/>
        <v>1.8589660393683757E-2</v>
      </c>
      <c r="S34" s="3"/>
      <c r="T34" s="8">
        <v>2006.3366699999999</v>
      </c>
      <c r="U34" s="3"/>
      <c r="V34" s="7">
        <f t="shared" si="5"/>
        <v>6.1652813090573863E-3</v>
      </c>
      <c r="W34" s="3"/>
      <c r="X34" s="8">
        <f t="shared" si="6"/>
        <v>6200.9333300000008</v>
      </c>
      <c r="Y34" s="3"/>
      <c r="Z34" s="7">
        <f t="shared" si="7"/>
        <v>3.0906743732097568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8">
        <v>850.78</v>
      </c>
      <c r="E35" s="3"/>
      <c r="F35" s="7">
        <f t="shared" si="0"/>
        <v>6.9735619723087011E-3</v>
      </c>
      <c r="G35" s="3"/>
      <c r="H35" s="8">
        <v>271</v>
      </c>
      <c r="I35" s="3"/>
      <c r="J35" s="7">
        <f t="shared" si="1"/>
        <v>1.9546887284425242E-3</v>
      </c>
      <c r="K35" s="3"/>
      <c r="L35" s="8">
        <f t="shared" si="2"/>
        <v>579.78</v>
      </c>
      <c r="M35" s="3"/>
      <c r="N35" s="7">
        <f t="shared" si="3"/>
        <v>2.139409594095941</v>
      </c>
      <c r="O35" s="12"/>
      <c r="P35" s="8">
        <v>5777.73</v>
      </c>
      <c r="Q35" s="3"/>
      <c r="R35" s="7">
        <f t="shared" si="4"/>
        <v>1.3086694911511189E-2</v>
      </c>
      <c r="S35" s="3"/>
      <c r="T35" s="8">
        <v>2184</v>
      </c>
      <c r="U35" s="3"/>
      <c r="V35" s="7">
        <f t="shared" si="5"/>
        <v>6.7112237842820929E-3</v>
      </c>
      <c r="W35" s="3"/>
      <c r="X35" s="8">
        <f t="shared" si="6"/>
        <v>3593.7299999999996</v>
      </c>
      <c r="Y35" s="3"/>
      <c r="Z35" s="7">
        <f t="shared" si="7"/>
        <v>1.6454807692307691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35242.61</v>
      </c>
      <c r="E36" s="2"/>
      <c r="F36" s="6">
        <f t="shared" si="0"/>
        <v>0.28887200557242337</v>
      </c>
      <c r="G36" s="2"/>
      <c r="H36" s="2">
        <f>SUM(OSRRefH22_1x_0)</f>
        <v>19920.469700000001</v>
      </c>
      <c r="I36" s="2"/>
      <c r="J36" s="6">
        <f t="shared" si="1"/>
        <v>0.14368382873753074</v>
      </c>
      <c r="K36" s="2"/>
      <c r="L36" s="2">
        <f t="shared" si="2"/>
        <v>15322.140299999999</v>
      </c>
      <c r="M36" s="2"/>
      <c r="N36" s="6">
        <f t="shared" si="3"/>
        <v>0.76916561359996438</v>
      </c>
      <c r="O36" s="14"/>
      <c r="P36" s="2">
        <f>SUM(OSRRefP22_1x_0)</f>
        <v>206509.66</v>
      </c>
      <c r="Q36" s="2"/>
      <c r="R36" s="6">
        <f t="shared" si="4"/>
        <v>0.46774925735538109</v>
      </c>
      <c r="S36" s="2"/>
      <c r="T36" s="2">
        <f>SUM(OSRRefT22_1x_0)</f>
        <v>128528.49382500001</v>
      </c>
      <c r="U36" s="2"/>
      <c r="V36" s="6">
        <f t="shared" si="5"/>
        <v>0.39495580802028118</v>
      </c>
      <c r="W36" s="2"/>
      <c r="X36" s="2">
        <f t="shared" si="6"/>
        <v>77981.166174999991</v>
      </c>
      <c r="Y36" s="2"/>
      <c r="Z36" s="6">
        <f t="shared" si="7"/>
        <v>0.60672278849837358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8">
        <v>4987.99</v>
      </c>
      <c r="E38" s="3"/>
      <c r="F38" s="7">
        <f t="shared" si="0"/>
        <v>4.0884902539147699E-2</v>
      </c>
      <c r="G38" s="3"/>
      <c r="H38" s="8">
        <v>4832.8114999999998</v>
      </c>
      <c r="I38" s="3"/>
      <c r="J38" s="7">
        <f t="shared" si="1"/>
        <v>3.4858458176152796E-2</v>
      </c>
      <c r="K38" s="3"/>
      <c r="L38" s="8">
        <f t="shared" si="2"/>
        <v>155.17849999999999</v>
      </c>
      <c r="M38" s="3"/>
      <c r="N38" s="7">
        <f t="shared" si="3"/>
        <v>3.210936325573633E-2</v>
      </c>
      <c r="O38" s="12"/>
      <c r="P38" s="8">
        <v>69118.149999999994</v>
      </c>
      <c r="Q38" s="3"/>
      <c r="R38" s="7">
        <f t="shared" si="4"/>
        <v>0.15655424221936073</v>
      </c>
      <c r="S38" s="3"/>
      <c r="T38" s="8">
        <v>42287.100624999999</v>
      </c>
      <c r="U38" s="3"/>
      <c r="V38" s="7">
        <f t="shared" si="5"/>
        <v>0.12994422870092956</v>
      </c>
      <c r="W38" s="3"/>
      <c r="X38" s="8">
        <f t="shared" si="6"/>
        <v>26831.049374999995</v>
      </c>
      <c r="Y38" s="3"/>
      <c r="Z38" s="7">
        <f t="shared" si="7"/>
        <v>0.63449725751917752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8">
        <v>12187.4</v>
      </c>
      <c r="E40" s="3"/>
      <c r="F40" s="7">
        <f t="shared" si="0"/>
        <v>9.9896082631602851E-2</v>
      </c>
      <c r="G40" s="3"/>
      <c r="H40" s="8">
        <v>7796.1432000000004</v>
      </c>
      <c r="I40" s="3"/>
      <c r="J40" s="7">
        <f t="shared" si="1"/>
        <v>5.62325949755123E-2</v>
      </c>
      <c r="K40" s="3"/>
      <c r="L40" s="8">
        <f t="shared" si="2"/>
        <v>4391.2567999999992</v>
      </c>
      <c r="M40" s="3"/>
      <c r="N40" s="7">
        <f t="shared" si="3"/>
        <v>0.56326015150670894</v>
      </c>
      <c r="O40" s="12"/>
      <c r="P40" s="8">
        <v>48787.360000000001</v>
      </c>
      <c r="Q40" s="3"/>
      <c r="R40" s="7">
        <f t="shared" si="4"/>
        <v>0.11050452268591031</v>
      </c>
      <c r="S40" s="3"/>
      <c r="T40" s="8">
        <v>50340.163200000003</v>
      </c>
      <c r="U40" s="3"/>
      <c r="V40" s="7">
        <f t="shared" si="5"/>
        <v>0.15469052224014751</v>
      </c>
      <c r="W40" s="3"/>
      <c r="X40" s="8">
        <f t="shared" si="6"/>
        <v>-1552.8032000000021</v>
      </c>
      <c r="Y40" s="3"/>
      <c r="Z40" s="7">
        <f t="shared" si="7"/>
        <v>-3.0846209096119934E-2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8">
        <v>10745.48</v>
      </c>
      <c r="E41" s="3"/>
      <c r="F41" s="7">
        <f t="shared" si="0"/>
        <v>8.8077141801880282E-2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10745.48</v>
      </c>
      <c r="M41" s="3"/>
      <c r="N41" s="7">
        <f t="shared" si="3"/>
        <v>0</v>
      </c>
      <c r="O41" s="12"/>
      <c r="P41" s="8">
        <v>52262.83</v>
      </c>
      <c r="Q41" s="3"/>
      <c r="R41" s="7">
        <f t="shared" si="4"/>
        <v>0.11837654432141592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52262.83</v>
      </c>
      <c r="Y41" s="3"/>
      <c r="Z41" s="7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8"/>
      <c r="E42" s="3"/>
      <c r="F42" s="7">
        <f t="shared" si="0"/>
        <v>0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8">
        <v>6180.14</v>
      </c>
      <c r="E43" s="3"/>
      <c r="F43" s="7">
        <f t="shared" si="0"/>
        <v>5.0656561376083008E-2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6180.14</v>
      </c>
      <c r="M43" s="3"/>
      <c r="N43" s="7">
        <f t="shared" si="3"/>
        <v>0</v>
      </c>
      <c r="O43" s="12"/>
      <c r="P43" s="8">
        <v>35199.72</v>
      </c>
      <c r="Q43" s="3"/>
      <c r="R43" s="7">
        <f t="shared" si="4"/>
        <v>7.9728197165775949E-2</v>
      </c>
      <c r="S43" s="3"/>
      <c r="T43" s="8">
        <v>798</v>
      </c>
      <c r="U43" s="3"/>
      <c r="V43" s="7">
        <f t="shared" si="5"/>
        <v>2.4521779211799954E-3</v>
      </c>
      <c r="W43" s="3"/>
      <c r="X43" s="8">
        <f t="shared" si="6"/>
        <v>34401.72</v>
      </c>
      <c r="Y43" s="3"/>
      <c r="Z43" s="7">
        <f t="shared" si="7"/>
        <v>43.10992481203008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8">
        <v>1141.5999999999999</v>
      </c>
      <c r="E44" s="3"/>
      <c r="F44" s="7">
        <f t="shared" si="0"/>
        <v>9.357317223709553E-3</v>
      </c>
      <c r="G44" s="3"/>
      <c r="H44" s="8">
        <v>7291.5150000000003</v>
      </c>
      <c r="I44" s="3"/>
      <c r="J44" s="7">
        <f t="shared" si="1"/>
        <v>5.2592775585865656E-2</v>
      </c>
      <c r="K44" s="3"/>
      <c r="L44" s="8">
        <f t="shared" si="2"/>
        <v>-6149.9150000000009</v>
      </c>
      <c r="M44" s="3"/>
      <c r="N44" s="7">
        <f t="shared" si="3"/>
        <v>-0.84343445772243497</v>
      </c>
      <c r="O44" s="12"/>
      <c r="P44" s="8">
        <v>1141.5999999999999</v>
      </c>
      <c r="Q44" s="3"/>
      <c r="R44" s="7">
        <f t="shared" si="4"/>
        <v>2.5857509629181657E-3</v>
      </c>
      <c r="S44" s="3"/>
      <c r="T44" s="8">
        <v>35103.230000000003</v>
      </c>
      <c r="U44" s="3"/>
      <c r="V44" s="7">
        <f t="shared" si="5"/>
        <v>0.10786887915802414</v>
      </c>
      <c r="W44" s="3"/>
      <c r="X44" s="8">
        <f t="shared" si="6"/>
        <v>-33961.630000000005</v>
      </c>
      <c r="Y44" s="3"/>
      <c r="Z44" s="7">
        <f t="shared" si="7"/>
        <v>-0.96747877616960043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8"/>
      <c r="E45" s="3"/>
      <c r="F45" s="7">
        <f t="shared" si="0"/>
        <v>0</v>
      </c>
      <c r="G45" s="3"/>
      <c r="H45" s="8">
        <v>0</v>
      </c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/>
      <c r="Q45" s="3"/>
      <c r="R45" s="7">
        <f t="shared" si="4"/>
        <v>0</v>
      </c>
      <c r="S45" s="3"/>
      <c r="T45" s="8">
        <v>0</v>
      </c>
      <c r="U45" s="3"/>
      <c r="V45" s="7">
        <f t="shared" si="5"/>
        <v>0</v>
      </c>
      <c r="W45" s="3"/>
      <c r="X45" s="8">
        <f t="shared" si="6"/>
        <v>0</v>
      </c>
      <c r="Y45" s="3"/>
      <c r="Z45" s="7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135.91</v>
      </c>
      <c r="E47" s="2"/>
      <c r="F47" s="6">
        <f t="shared" si="0"/>
        <v>1.1140092710882669E-3</v>
      </c>
      <c r="G47" s="2"/>
      <c r="H47" s="2">
        <f>SUM(OSRRefH22_2x_0)</f>
        <v>0</v>
      </c>
      <c r="I47" s="2"/>
      <c r="J47" s="6">
        <f t="shared" si="1"/>
        <v>0</v>
      </c>
      <c r="K47" s="2"/>
      <c r="L47" s="2">
        <f t="shared" si="2"/>
        <v>135.91</v>
      </c>
      <c r="M47" s="2"/>
      <c r="N47" s="6">
        <f t="shared" si="3"/>
        <v>0</v>
      </c>
      <c r="O47" s="14"/>
      <c r="P47" s="2">
        <f>SUM(OSRRefP22_2x_0)</f>
        <v>806.65</v>
      </c>
      <c r="Q47" s="2"/>
      <c r="R47" s="6">
        <f t="shared" si="4"/>
        <v>1.8270813018902755E-3</v>
      </c>
      <c r="S47" s="2"/>
      <c r="T47" s="2">
        <f>SUM(OSRRefT22_2x_0)</f>
        <v>0</v>
      </c>
      <c r="U47" s="2"/>
      <c r="V47" s="6">
        <f t="shared" si="5"/>
        <v>0</v>
      </c>
      <c r="W47" s="2"/>
      <c r="X47" s="2">
        <f t="shared" si="6"/>
        <v>806.65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8">
        <v>135.91</v>
      </c>
      <c r="E48" s="3"/>
      <c r="F48" s="7">
        <f t="shared" si="0"/>
        <v>1.1140092710882669E-3</v>
      </c>
      <c r="G48" s="3"/>
      <c r="H48" s="8"/>
      <c r="I48" s="3"/>
      <c r="J48" s="7">
        <f t="shared" si="1"/>
        <v>0</v>
      </c>
      <c r="K48" s="3"/>
      <c r="L48" s="8">
        <f t="shared" si="2"/>
        <v>135.91</v>
      </c>
      <c r="M48" s="3"/>
      <c r="N48" s="7">
        <f t="shared" si="3"/>
        <v>0</v>
      </c>
      <c r="O48" s="12"/>
      <c r="P48" s="8">
        <v>806.65</v>
      </c>
      <c r="Q48" s="3"/>
      <c r="R48" s="7">
        <f t="shared" si="4"/>
        <v>1.8270813018902755E-3</v>
      </c>
      <c r="S48" s="3"/>
      <c r="T48" s="8"/>
      <c r="U48" s="3"/>
      <c r="V48" s="7">
        <f t="shared" si="5"/>
        <v>0</v>
      </c>
      <c r="W48" s="3"/>
      <c r="X48" s="8">
        <f t="shared" si="6"/>
        <v>806.65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","Bad Debts/Over/Short                              ")</f>
        <v xml:space="preserve">     Bad Debts/Over/Short                              </v>
      </c>
      <c r="C49" s="14"/>
      <c r="D49" s="2">
        <f>SUM(OSRRefD22_3x_0)</f>
        <v>-18.28</v>
      </c>
      <c r="E49" s="2"/>
      <c r="F49" s="6">
        <f t="shared" si="0"/>
        <v>-1.4983510761160709E-4</v>
      </c>
      <c r="G49" s="2"/>
      <c r="H49" s="2">
        <f>SUM(OSRRefH22_3x_0)</f>
        <v>10</v>
      </c>
      <c r="I49" s="2"/>
      <c r="J49" s="6">
        <f t="shared" si="1"/>
        <v>7.2128735366882809E-5</v>
      </c>
      <c r="K49" s="2"/>
      <c r="L49" s="2">
        <f t="shared" si="2"/>
        <v>-28.28</v>
      </c>
      <c r="M49" s="2"/>
      <c r="N49" s="6">
        <f t="shared" si="3"/>
        <v>-2.8280000000000003</v>
      </c>
      <c r="O49" s="14"/>
      <c r="P49" s="2">
        <f>SUM(OSRRefP22_3x_0)</f>
        <v>-17.02</v>
      </c>
      <c r="Q49" s="2"/>
      <c r="R49" s="6">
        <f t="shared" si="4"/>
        <v>-3.8550701987444975E-5</v>
      </c>
      <c r="S49" s="2"/>
      <c r="T49" s="2">
        <f>SUM(OSRRefT22_3x_0)</f>
        <v>60</v>
      </c>
      <c r="U49" s="2"/>
      <c r="V49" s="6">
        <f t="shared" si="5"/>
        <v>1.8437427978796957E-4</v>
      </c>
      <c r="W49" s="2"/>
      <c r="X49" s="2">
        <f t="shared" si="6"/>
        <v>-77.02</v>
      </c>
      <c r="Y49" s="2"/>
      <c r="Z49" s="6">
        <f t="shared" si="7"/>
        <v>-1.2836666666666665</v>
      </c>
    </row>
    <row r="50" spans="1:26" s="70" customFormat="1" ht="15" hidden="1" customHeight="1" outlineLevel="2" x14ac:dyDescent="0.3">
      <c r="A50" s="26"/>
      <c r="B50" s="12" t="str">
        <f>CONCATENATE("          ","6272"," - ","CASH (OVER/SHORT)")</f>
        <v xml:space="preserve">          6272 - CASH (OVER/SHORT)</v>
      </c>
      <c r="C50" s="12"/>
      <c r="D50" s="8">
        <v>-18.28</v>
      </c>
      <c r="E50" s="3"/>
      <c r="F50" s="7">
        <f t="shared" si="0"/>
        <v>-1.4983510761160709E-4</v>
      </c>
      <c r="G50" s="3"/>
      <c r="H50" s="8">
        <v>10</v>
      </c>
      <c r="I50" s="3"/>
      <c r="J50" s="7">
        <f t="shared" si="1"/>
        <v>7.2128735366882809E-5</v>
      </c>
      <c r="K50" s="3"/>
      <c r="L50" s="8">
        <f t="shared" si="2"/>
        <v>-28.28</v>
      </c>
      <c r="M50" s="3"/>
      <c r="N50" s="7">
        <f t="shared" si="3"/>
        <v>-2.8280000000000003</v>
      </c>
      <c r="O50" s="12"/>
      <c r="P50" s="8">
        <v>-17.02</v>
      </c>
      <c r="Q50" s="3"/>
      <c r="R50" s="7">
        <f t="shared" si="4"/>
        <v>-3.8550701987444975E-5</v>
      </c>
      <c r="S50" s="3"/>
      <c r="T50" s="8">
        <v>60</v>
      </c>
      <c r="U50" s="3"/>
      <c r="V50" s="7">
        <f t="shared" si="5"/>
        <v>1.8437427978796957E-4</v>
      </c>
      <c r="W50" s="3"/>
      <c r="X50" s="8">
        <f t="shared" si="6"/>
        <v>-77.02</v>
      </c>
      <c r="Y50" s="3"/>
      <c r="Z50" s="7">
        <f t="shared" si="7"/>
        <v>-1.2836666666666665</v>
      </c>
    </row>
    <row r="51" spans="1:26" s="69" customFormat="1" ht="15" customHeight="1" outlineLevel="1" collapsed="1" x14ac:dyDescent="0.3">
      <c r="A51" s="25"/>
      <c r="B51" s="14" t="str">
        <f>CONCATENATE("     ","Bank/card Fees                                    ")</f>
        <v xml:space="preserve">     Bank/card Fees                                    </v>
      </c>
      <c r="C51" s="14"/>
      <c r="D51" s="2">
        <f>SUM(OSRRefD22_4x_0)</f>
        <v>2976.4</v>
      </c>
      <c r="E51" s="2"/>
      <c r="F51" s="6">
        <f t="shared" si="0"/>
        <v>2.4396565333434754E-2</v>
      </c>
      <c r="G51" s="2"/>
      <c r="H51" s="2">
        <f>SUM(OSRRefH22_4x_0)</f>
        <v>6953</v>
      </c>
      <c r="I51" s="2"/>
      <c r="J51" s="6">
        <f t="shared" si="1"/>
        <v>5.0151109700593617E-2</v>
      </c>
      <c r="K51" s="2"/>
      <c r="L51" s="2">
        <f t="shared" si="2"/>
        <v>-3976.6</v>
      </c>
      <c r="M51" s="2"/>
      <c r="N51" s="6">
        <f t="shared" si="3"/>
        <v>-0.57192578742988631</v>
      </c>
      <c r="O51" s="14"/>
      <c r="P51" s="2">
        <f>SUM(OSRRefP22_4x_0)</f>
        <v>14424.31</v>
      </c>
      <c r="Q51" s="2"/>
      <c r="R51" s="6">
        <f t="shared" si="4"/>
        <v>3.267140283105302E-2</v>
      </c>
      <c r="S51" s="2"/>
      <c r="T51" s="2">
        <f>SUM(OSRRefT22_4x_0)</f>
        <v>16320</v>
      </c>
      <c r="U51" s="2"/>
      <c r="V51" s="6">
        <f t="shared" si="5"/>
        <v>5.0149804102327722E-2</v>
      </c>
      <c r="W51" s="2"/>
      <c r="X51" s="2">
        <f t="shared" si="6"/>
        <v>-1895.6900000000005</v>
      </c>
      <c r="Y51" s="2"/>
      <c r="Z51" s="6">
        <f t="shared" si="7"/>
        <v>-0.11615747549019612</v>
      </c>
    </row>
    <row r="52" spans="1:26" s="70" customFormat="1" ht="15" hidden="1" customHeight="1" outlineLevel="2" x14ac:dyDescent="0.3">
      <c r="A52" s="26"/>
      <c r="B52" s="12" t="str">
        <f>CONCATENATE("          ","6381"," - ","BANK/CREDIT CARD FEES")</f>
        <v xml:space="preserve">          6381 - BANK/CREDIT CARD FEES</v>
      </c>
      <c r="C52" s="12"/>
      <c r="D52" s="8">
        <v>2976.4</v>
      </c>
      <c r="E52" s="3"/>
      <c r="F52" s="7">
        <f t="shared" si="0"/>
        <v>2.4396565333434754E-2</v>
      </c>
      <c r="G52" s="3"/>
      <c r="H52" s="8">
        <v>6953</v>
      </c>
      <c r="I52" s="3"/>
      <c r="J52" s="7">
        <f t="shared" si="1"/>
        <v>5.0151109700593617E-2</v>
      </c>
      <c r="K52" s="3"/>
      <c r="L52" s="8">
        <f t="shared" si="2"/>
        <v>-3976.6</v>
      </c>
      <c r="M52" s="3"/>
      <c r="N52" s="7">
        <f t="shared" si="3"/>
        <v>-0.57192578742988631</v>
      </c>
      <c r="O52" s="12"/>
      <c r="P52" s="8">
        <v>14424.31</v>
      </c>
      <c r="Q52" s="3"/>
      <c r="R52" s="7">
        <f t="shared" si="4"/>
        <v>3.267140283105302E-2</v>
      </c>
      <c r="S52" s="3"/>
      <c r="T52" s="8">
        <v>16320</v>
      </c>
      <c r="U52" s="3"/>
      <c r="V52" s="7">
        <f t="shared" si="5"/>
        <v>5.0149804102327722E-2</v>
      </c>
      <c r="W52" s="3"/>
      <c r="X52" s="8">
        <f t="shared" si="6"/>
        <v>-1895.6900000000005</v>
      </c>
      <c r="Y52" s="3"/>
      <c r="Z52" s="7">
        <f t="shared" si="7"/>
        <v>-0.11615747549019612</v>
      </c>
    </row>
    <row r="53" spans="1:26" s="69" customFormat="1" ht="15" customHeight="1" outlineLevel="1" collapsed="1" x14ac:dyDescent="0.3">
      <c r="A53" s="25"/>
      <c r="B53" s="14" t="str">
        <f>CONCATENATE("     ","Depreciation                                      ")</f>
        <v xml:space="preserve">     Depreciation                                      </v>
      </c>
      <c r="C53" s="14"/>
      <c r="D53" s="2">
        <f>SUM(OSRRefD22_5x_0)</f>
        <v>14007.34</v>
      </c>
      <c r="E53" s="2"/>
      <c r="F53" s="6">
        <f t="shared" si="0"/>
        <v>0.11481352824137682</v>
      </c>
      <c r="G53" s="2"/>
      <c r="H53" s="2">
        <f>SUM(OSRRefH22_5x_0)</f>
        <v>13902</v>
      </c>
      <c r="I53" s="2"/>
      <c r="J53" s="6">
        <f t="shared" si="1"/>
        <v>0.10027336790704049</v>
      </c>
      <c r="K53" s="2"/>
      <c r="L53" s="2">
        <f t="shared" si="2"/>
        <v>105.34000000000015</v>
      </c>
      <c r="M53" s="2"/>
      <c r="N53" s="6">
        <f t="shared" si="3"/>
        <v>7.577327003308887E-3</v>
      </c>
      <c r="O53" s="14"/>
      <c r="P53" s="2">
        <f>SUM(OSRRefP22_5x_0)</f>
        <v>112058.72</v>
      </c>
      <c r="Q53" s="2"/>
      <c r="R53" s="6">
        <f t="shared" si="4"/>
        <v>0.25381564746266394</v>
      </c>
      <c r="S53" s="2"/>
      <c r="T53" s="2">
        <f>SUM(OSRRefT22_5x_0)</f>
        <v>111216</v>
      </c>
      <c r="U53" s="2"/>
      <c r="V53" s="6">
        <f t="shared" si="5"/>
        <v>0.34175616501498041</v>
      </c>
      <c r="W53" s="2"/>
      <c r="X53" s="2">
        <f t="shared" si="6"/>
        <v>842.72000000000116</v>
      </c>
      <c r="Y53" s="2"/>
      <c r="Z53" s="6">
        <f t="shared" si="7"/>
        <v>7.577327003308887E-3</v>
      </c>
    </row>
    <row r="54" spans="1:26" s="70" customFormat="1" ht="15" hidden="1" customHeight="1" outlineLevel="2" x14ac:dyDescent="0.3">
      <c r="A54" s="26"/>
      <c r="B54" s="12" t="str">
        <f>CONCATENATE("          ","6321"," - ","BUILDING DEPRECIATION")</f>
        <v xml:space="preserve">          6321 - BUILDING DEPRECIATION</v>
      </c>
      <c r="C54" s="12"/>
      <c r="D54" s="8">
        <v>10597.26</v>
      </c>
      <c r="E54" s="3"/>
      <c r="F54" s="7">
        <f t="shared" si="0"/>
        <v>8.6862231536552467E-2</v>
      </c>
      <c r="G54" s="3"/>
      <c r="H54" s="8"/>
      <c r="I54" s="3"/>
      <c r="J54" s="7">
        <f t="shared" si="1"/>
        <v>0</v>
      </c>
      <c r="K54" s="3"/>
      <c r="L54" s="8">
        <f t="shared" si="2"/>
        <v>10597.26</v>
      </c>
      <c r="M54" s="3"/>
      <c r="N54" s="7">
        <f t="shared" si="3"/>
        <v>0</v>
      </c>
      <c r="O54" s="12"/>
      <c r="P54" s="8">
        <v>84778.08</v>
      </c>
      <c r="Q54" s="3"/>
      <c r="R54" s="7">
        <f t="shared" si="4"/>
        <v>0.19202435353394648</v>
      </c>
      <c r="S54" s="3"/>
      <c r="T54" s="8"/>
      <c r="U54" s="3"/>
      <c r="V54" s="7">
        <f t="shared" si="5"/>
        <v>0</v>
      </c>
      <c r="W54" s="3"/>
      <c r="X54" s="8">
        <f t="shared" si="6"/>
        <v>84778.08</v>
      </c>
      <c r="Y54" s="3"/>
      <c r="Z54" s="7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3410.08</v>
      </c>
      <c r="E55" s="3"/>
      <c r="F55" s="7">
        <f t="shared" si="0"/>
        <v>2.7951296704824345E-2</v>
      </c>
      <c r="G55" s="3"/>
      <c r="H55" s="8">
        <v>13902</v>
      </c>
      <c r="I55" s="3"/>
      <c r="J55" s="7">
        <f t="shared" si="1"/>
        <v>0.10027336790704049</v>
      </c>
      <c r="K55" s="3"/>
      <c r="L55" s="8">
        <f t="shared" si="2"/>
        <v>-10491.92</v>
      </c>
      <c r="M55" s="3"/>
      <c r="N55" s="7">
        <f t="shared" si="3"/>
        <v>-0.75470579772694579</v>
      </c>
      <c r="O55" s="12"/>
      <c r="P55" s="8">
        <v>27280.639999999999</v>
      </c>
      <c r="Q55" s="3"/>
      <c r="R55" s="7">
        <f t="shared" si="4"/>
        <v>6.179129392871744E-2</v>
      </c>
      <c r="S55" s="3"/>
      <c r="T55" s="8">
        <v>111216</v>
      </c>
      <c r="U55" s="3"/>
      <c r="V55" s="7">
        <f t="shared" si="5"/>
        <v>0.34175616501498041</v>
      </c>
      <c r="W55" s="3"/>
      <c r="X55" s="8">
        <f t="shared" si="6"/>
        <v>-83935.360000000001</v>
      </c>
      <c r="Y55" s="3"/>
      <c r="Z55" s="7">
        <f t="shared" si="7"/>
        <v>-0.75470579772694579</v>
      </c>
    </row>
    <row r="56" spans="1:26" s="69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SUM(OSRRefP22_6x_0)</f>
        <v>0</v>
      </c>
      <c r="Q56" s="2"/>
      <c r="R56" s="6">
        <f t="shared" si="4"/>
        <v>0</v>
      </c>
      <c r="S56" s="2"/>
      <c r="T56" s="2">
        <f>SUM(OSRRefT22_6x_0)</f>
        <v>50</v>
      </c>
      <c r="U56" s="2"/>
      <c r="V56" s="6">
        <f t="shared" si="5"/>
        <v>1.5364523315664132E-4</v>
      </c>
      <c r="W56" s="2"/>
      <c r="X56" s="2">
        <f t="shared" si="6"/>
        <v>-50</v>
      </c>
      <c r="Y56" s="2"/>
      <c r="Z56" s="6">
        <f t="shared" si="7"/>
        <v>-1</v>
      </c>
    </row>
    <row r="57" spans="1:26" s="70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8"/>
      <c r="E57" s="3"/>
      <c r="F57" s="7">
        <f t="shared" ref="F57:F90" si="8">IF(D$12=0,0,D57/D$12)</f>
        <v>0</v>
      </c>
      <c r="G57" s="3"/>
      <c r="H57" s="8"/>
      <c r="I57" s="3"/>
      <c r="J57" s="7">
        <f t="shared" ref="J57:J90" si="9">IF(H$12=0,0,H57/H$12)</f>
        <v>0</v>
      </c>
      <c r="K57" s="3"/>
      <c r="L57" s="8">
        <f t="shared" ref="L57:L90" si="10">+D57-H57</f>
        <v>0</v>
      </c>
      <c r="M57" s="3"/>
      <c r="N57" s="7">
        <f t="shared" ref="N57:N90" si="11">IF(H57=0,0,L57/H57)</f>
        <v>0</v>
      </c>
      <c r="O57" s="12"/>
      <c r="P57" s="8"/>
      <c r="Q57" s="3"/>
      <c r="R57" s="7">
        <f t="shared" ref="R57:R90" si="12">IF(P$12=0,0,P57/P$12)</f>
        <v>0</v>
      </c>
      <c r="S57" s="3"/>
      <c r="T57" s="8">
        <v>50</v>
      </c>
      <c r="U57" s="3"/>
      <c r="V57" s="7">
        <f t="shared" ref="V57:V90" si="13">IF(T$12=0,0,T57/T$12)</f>
        <v>1.5364523315664132E-4</v>
      </c>
      <c r="W57" s="3"/>
      <c r="X57" s="8">
        <f t="shared" ref="X57:X90" si="14">+P57-T57</f>
        <v>-50</v>
      </c>
      <c r="Y57" s="3"/>
      <c r="Z57" s="7">
        <f t="shared" ref="Z57:Z90" si="15">IF(T57=0,0,X57/T57)</f>
        <v>-1</v>
      </c>
    </row>
    <row r="58" spans="1:26" s="69" customFormat="1" ht="15" customHeight="1" outlineLevel="1" collapsed="1" x14ac:dyDescent="0.3">
      <c r="A58" s="25"/>
      <c r="B58" s="14" t="str">
        <f>CONCATENATE("     ","Equipment Rental                                  ")</f>
        <v xml:space="preserve">     Equipment Rental                                  </v>
      </c>
      <c r="C58" s="14"/>
      <c r="D58" s="2">
        <f>SUM(OSRRefD22_7x_0)</f>
        <v>456.12</v>
      </c>
      <c r="E58" s="2"/>
      <c r="F58" s="6">
        <f t="shared" si="8"/>
        <v>3.7386646216524188E-3</v>
      </c>
      <c r="G58" s="2"/>
      <c r="H58" s="2">
        <f>SUM(OSRRefH22_7x_0)</f>
        <v>275</v>
      </c>
      <c r="I58" s="2"/>
      <c r="J58" s="6">
        <f t="shared" si="9"/>
        <v>1.9835402225892775E-3</v>
      </c>
      <c r="K58" s="2"/>
      <c r="L58" s="2">
        <f t="shared" si="10"/>
        <v>181.12</v>
      </c>
      <c r="M58" s="2"/>
      <c r="N58" s="6">
        <f t="shared" si="11"/>
        <v>0.65861818181818188</v>
      </c>
      <c r="O58" s="14"/>
      <c r="P58" s="2">
        <f>SUM(OSRRefP22_7x_0)</f>
        <v>2466.17</v>
      </c>
      <c r="Q58" s="2"/>
      <c r="R58" s="6">
        <f t="shared" si="12"/>
        <v>5.5859332973194576E-3</v>
      </c>
      <c r="S58" s="2"/>
      <c r="T58" s="2">
        <f>SUM(OSRRefT22_7x_0)</f>
        <v>2200</v>
      </c>
      <c r="U58" s="2"/>
      <c r="V58" s="6">
        <f t="shared" si="13"/>
        <v>6.7603902588922182E-3</v>
      </c>
      <c r="W58" s="2"/>
      <c r="X58" s="2">
        <f t="shared" si="14"/>
        <v>266.17000000000007</v>
      </c>
      <c r="Y58" s="2"/>
      <c r="Z58" s="6">
        <f t="shared" si="15"/>
        <v>0.12098636363636367</v>
      </c>
    </row>
    <row r="59" spans="1:26" s="70" customFormat="1" ht="15" hidden="1" customHeight="1" outlineLevel="2" x14ac:dyDescent="0.3">
      <c r="A59" s="26"/>
      <c r="B59" s="12" t="str">
        <f>CONCATENATE("          ","6351"," - ","EQUIPMENT RENTAL")</f>
        <v xml:space="preserve">          6351 - EQUIPMENT RENTAL</v>
      </c>
      <c r="C59" s="12"/>
      <c r="D59" s="8">
        <v>456.12</v>
      </c>
      <c r="E59" s="3"/>
      <c r="F59" s="7">
        <f t="shared" si="8"/>
        <v>3.7386646216524188E-3</v>
      </c>
      <c r="G59" s="3"/>
      <c r="H59" s="8">
        <v>275</v>
      </c>
      <c r="I59" s="3"/>
      <c r="J59" s="7">
        <f t="shared" si="9"/>
        <v>1.9835402225892775E-3</v>
      </c>
      <c r="K59" s="3"/>
      <c r="L59" s="8">
        <f t="shared" si="10"/>
        <v>181.12</v>
      </c>
      <c r="M59" s="3"/>
      <c r="N59" s="7">
        <f t="shared" si="11"/>
        <v>0.65861818181818188</v>
      </c>
      <c r="O59" s="12"/>
      <c r="P59" s="8">
        <v>2466.17</v>
      </c>
      <c r="Q59" s="3"/>
      <c r="R59" s="7">
        <f t="shared" si="12"/>
        <v>5.5859332973194576E-3</v>
      </c>
      <c r="S59" s="3"/>
      <c r="T59" s="8">
        <v>2200</v>
      </c>
      <c r="U59" s="3"/>
      <c r="V59" s="7">
        <f t="shared" si="13"/>
        <v>6.7603902588922182E-3</v>
      </c>
      <c r="W59" s="3"/>
      <c r="X59" s="8">
        <f t="shared" si="14"/>
        <v>266.17000000000007</v>
      </c>
      <c r="Y59" s="3"/>
      <c r="Z59" s="7">
        <f t="shared" si="15"/>
        <v>0.12098636363636367</v>
      </c>
    </row>
    <row r="60" spans="1:26" s="69" customFormat="1" ht="15" customHeight="1" outlineLevel="1" collapsed="1" x14ac:dyDescent="0.3">
      <c r="A60" s="25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SUM(OSRRefD22_8x_0)</f>
        <v>0</v>
      </c>
      <c r="E60" s="2"/>
      <c r="F60" s="6">
        <f t="shared" si="8"/>
        <v>0</v>
      </c>
      <c r="G60" s="2"/>
      <c r="H60" s="2">
        <f>SUM(OSRRefH22_8x_0)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SUM(OSRRefP22_8x_0)</f>
        <v>1520.97</v>
      </c>
      <c r="Q60" s="2"/>
      <c r="R60" s="6">
        <f t="shared" si="12"/>
        <v>3.4450329730813267E-3</v>
      </c>
      <c r="S60" s="2"/>
      <c r="T60" s="2">
        <f>SUM(OSRRefT22_8x_0)</f>
        <v>1790</v>
      </c>
      <c r="U60" s="2"/>
      <c r="V60" s="6">
        <f t="shared" si="13"/>
        <v>5.5004993470077592E-3</v>
      </c>
      <c r="W60" s="2"/>
      <c r="X60" s="2">
        <f t="shared" si="14"/>
        <v>-269.02999999999997</v>
      </c>
      <c r="Y60" s="2"/>
      <c r="Z60" s="6">
        <f t="shared" si="15"/>
        <v>-0.15029608938547484</v>
      </c>
    </row>
    <row r="61" spans="1:26" s="70" customFormat="1" ht="15" hidden="1" customHeight="1" outlineLevel="2" x14ac:dyDescent="0.3">
      <c r="A61" s="26"/>
      <c r="B61" s="12" t="str">
        <f>CONCATENATE("          ","6279"," - ","GENERAL EXPENSE")</f>
        <v xml:space="preserve">          6279 - GENERAL EXPENSE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1520.97</v>
      </c>
      <c r="Q61" s="3"/>
      <c r="R61" s="7">
        <f t="shared" si="12"/>
        <v>3.4450329730813267E-3</v>
      </c>
      <c r="S61" s="3"/>
      <c r="T61" s="8">
        <v>1790</v>
      </c>
      <c r="U61" s="3"/>
      <c r="V61" s="7">
        <f t="shared" si="13"/>
        <v>5.5004993470077592E-3</v>
      </c>
      <c r="W61" s="3"/>
      <c r="X61" s="8">
        <f t="shared" si="14"/>
        <v>-269.02999999999997</v>
      </c>
      <c r="Y61" s="3"/>
      <c r="Z61" s="7">
        <f t="shared" si="15"/>
        <v>-0.15029608938547484</v>
      </c>
    </row>
    <row r="62" spans="1:26" s="69" customFormat="1" ht="15" customHeight="1" outlineLevel="1" collapsed="1" x14ac:dyDescent="0.3">
      <c r="A62" s="25"/>
      <c r="B62" s="14" t="str">
        <f>CONCATENATE("     ","Insurance                                         ")</f>
        <v xml:space="preserve">     Insurance                                         </v>
      </c>
      <c r="C62" s="14"/>
      <c r="D62" s="2">
        <f>SUM(OSRRefD22_9x_0)</f>
        <v>871.61</v>
      </c>
      <c r="E62" s="2"/>
      <c r="F62" s="6">
        <f t="shared" si="8"/>
        <v>7.1442985856319937E-3</v>
      </c>
      <c r="G62" s="2"/>
      <c r="H62" s="2">
        <f>SUM(OSRRefH22_9x_0)</f>
        <v>850</v>
      </c>
      <c r="I62" s="2"/>
      <c r="J62" s="6">
        <f t="shared" si="9"/>
        <v>6.1309425061850387E-3</v>
      </c>
      <c r="K62" s="2"/>
      <c r="L62" s="2">
        <f t="shared" si="10"/>
        <v>21.610000000000014</v>
      </c>
      <c r="M62" s="2"/>
      <c r="N62" s="6">
        <f t="shared" si="11"/>
        <v>2.5423529411764723E-2</v>
      </c>
      <c r="O62" s="14"/>
      <c r="P62" s="2">
        <f>SUM(OSRRefP22_9x_0)</f>
        <v>6972.88</v>
      </c>
      <c r="Q62" s="2"/>
      <c r="R62" s="6">
        <f t="shared" si="12"/>
        <v>1.5793737889201839E-2</v>
      </c>
      <c r="S62" s="2"/>
      <c r="T62" s="2">
        <f>SUM(OSRRefT22_9x_0)</f>
        <v>6800</v>
      </c>
      <c r="U62" s="2"/>
      <c r="V62" s="6">
        <f t="shared" si="13"/>
        <v>2.0895751709303217E-2</v>
      </c>
      <c r="W62" s="2"/>
      <c r="X62" s="2">
        <f t="shared" si="14"/>
        <v>172.88000000000011</v>
      </c>
      <c r="Y62" s="2"/>
      <c r="Z62" s="6">
        <f t="shared" si="15"/>
        <v>2.5423529411764723E-2</v>
      </c>
    </row>
    <row r="63" spans="1:26" s="70" customFormat="1" ht="15" hidden="1" customHeight="1" outlineLevel="2" x14ac:dyDescent="0.3">
      <c r="A63" s="26"/>
      <c r="B63" s="12" t="str">
        <f>CONCATENATE("          ","6314"," - ","LIABILITY INSURANCE")</f>
        <v xml:space="preserve">          6314 - LIABILITY INSURANCE</v>
      </c>
      <c r="C63" s="12"/>
      <c r="D63" s="8">
        <v>871.61</v>
      </c>
      <c r="E63" s="3"/>
      <c r="F63" s="7">
        <f t="shared" si="8"/>
        <v>7.1442985856319937E-3</v>
      </c>
      <c r="G63" s="3"/>
      <c r="H63" s="8">
        <v>850</v>
      </c>
      <c r="I63" s="3"/>
      <c r="J63" s="7">
        <f t="shared" si="9"/>
        <v>6.1309425061850387E-3</v>
      </c>
      <c r="K63" s="3"/>
      <c r="L63" s="8">
        <f t="shared" si="10"/>
        <v>21.610000000000014</v>
      </c>
      <c r="M63" s="3"/>
      <c r="N63" s="7">
        <f t="shared" si="11"/>
        <v>2.5423529411764723E-2</v>
      </c>
      <c r="O63" s="12"/>
      <c r="P63" s="8">
        <v>6972.88</v>
      </c>
      <c r="Q63" s="3"/>
      <c r="R63" s="7">
        <f t="shared" si="12"/>
        <v>1.5793737889201839E-2</v>
      </c>
      <c r="S63" s="3"/>
      <c r="T63" s="8">
        <v>6800</v>
      </c>
      <c r="U63" s="3"/>
      <c r="V63" s="7">
        <f t="shared" si="13"/>
        <v>2.0895751709303217E-2</v>
      </c>
      <c r="W63" s="3"/>
      <c r="X63" s="8">
        <f t="shared" si="14"/>
        <v>172.88000000000011</v>
      </c>
      <c r="Y63" s="3"/>
      <c r="Z63" s="7">
        <f t="shared" si="15"/>
        <v>2.5423529411764723E-2</v>
      </c>
    </row>
    <row r="64" spans="1:26" s="69" customFormat="1" ht="15" customHeight="1" outlineLevel="1" collapsed="1" x14ac:dyDescent="0.3">
      <c r="A64" s="25"/>
      <c r="B64" s="14" t="str">
        <f>CONCATENATE("     ","Interest                                          ")</f>
        <v xml:space="preserve">     Interest                                          </v>
      </c>
      <c r="C64" s="14"/>
      <c r="D64" s="2">
        <f>SUM(OSRRefD22_10x_0)</f>
        <v>7253</v>
      </c>
      <c r="E64" s="2"/>
      <c r="F64" s="6">
        <f t="shared" si="8"/>
        <v>5.9450439579156793E-2</v>
      </c>
      <c r="G64" s="2"/>
      <c r="H64" s="2">
        <f>SUM(OSRRefH22_10x_0)</f>
        <v>7253</v>
      </c>
      <c r="I64" s="2"/>
      <c r="J64" s="6">
        <f t="shared" si="9"/>
        <v>5.2314971761600104E-2</v>
      </c>
      <c r="K64" s="2"/>
      <c r="L64" s="2">
        <f t="shared" si="10"/>
        <v>0</v>
      </c>
      <c r="M64" s="2"/>
      <c r="N64" s="6">
        <f t="shared" si="11"/>
        <v>0</v>
      </c>
      <c r="O64" s="14"/>
      <c r="P64" s="2">
        <f>SUM(OSRRefP22_10x_0)</f>
        <v>57510</v>
      </c>
      <c r="Q64" s="2"/>
      <c r="R64" s="6">
        <f t="shared" si="12"/>
        <v>0.13026150830187783</v>
      </c>
      <c r="S64" s="2"/>
      <c r="T64" s="2">
        <f>SUM(OSRRefT22_10x_0)</f>
        <v>58024</v>
      </c>
      <c r="U64" s="2"/>
      <c r="V64" s="6">
        <f t="shared" si="13"/>
        <v>0.1783022201736191</v>
      </c>
      <c r="W64" s="2"/>
      <c r="X64" s="2">
        <f t="shared" si="14"/>
        <v>-514</v>
      </c>
      <c r="Y64" s="2"/>
      <c r="Z64" s="6">
        <f t="shared" si="15"/>
        <v>-8.8584034192747824E-3</v>
      </c>
    </row>
    <row r="65" spans="1:26" s="70" customFormat="1" ht="15" hidden="1" customHeight="1" outlineLevel="2" x14ac:dyDescent="0.3">
      <c r="A65" s="26"/>
      <c r="B65" s="12" t="str">
        <f>CONCATENATE("          ","6401"," - ","INTEREST EXPENSE")</f>
        <v xml:space="preserve">          6401 - INTEREST EXPENSE</v>
      </c>
      <c r="C65" s="12"/>
      <c r="D65" s="8">
        <v>7253</v>
      </c>
      <c r="E65" s="3"/>
      <c r="F65" s="7">
        <f t="shared" si="8"/>
        <v>5.9450439579156793E-2</v>
      </c>
      <c r="G65" s="3"/>
      <c r="H65" s="8">
        <v>7253</v>
      </c>
      <c r="I65" s="3"/>
      <c r="J65" s="7">
        <f t="shared" si="9"/>
        <v>5.2314971761600104E-2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57510</v>
      </c>
      <c r="Q65" s="3"/>
      <c r="R65" s="7">
        <f t="shared" si="12"/>
        <v>0.13026150830187783</v>
      </c>
      <c r="S65" s="3"/>
      <c r="T65" s="8">
        <v>58024</v>
      </c>
      <c r="U65" s="3"/>
      <c r="V65" s="7">
        <f t="shared" si="13"/>
        <v>0.1783022201736191</v>
      </c>
      <c r="W65" s="3"/>
      <c r="X65" s="8">
        <f t="shared" si="14"/>
        <v>-514</v>
      </c>
      <c r="Y65" s="3"/>
      <c r="Z65" s="7">
        <f t="shared" si="15"/>
        <v>-8.8584034192747824E-3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1803.3799999999999</v>
      </c>
      <c r="E66" s="2"/>
      <c r="F66" s="6">
        <f t="shared" si="8"/>
        <v>1.4781708772681616E-2</v>
      </c>
      <c r="G66" s="2"/>
      <c r="H66" s="2">
        <f>SUM(OSRRefH22_11x_0)</f>
        <v>500</v>
      </c>
      <c r="I66" s="2"/>
      <c r="J66" s="6">
        <f t="shared" si="9"/>
        <v>3.6064367683441407E-3</v>
      </c>
      <c r="K66" s="2"/>
      <c r="L66" s="2">
        <f t="shared" si="10"/>
        <v>1303.3799999999999</v>
      </c>
      <c r="M66" s="2"/>
      <c r="N66" s="6">
        <f t="shared" si="11"/>
        <v>2.60676</v>
      </c>
      <c r="O66" s="14"/>
      <c r="P66" s="2">
        <f>SUM(OSRRefP22_11x_0)</f>
        <v>23881.09</v>
      </c>
      <c r="Q66" s="2"/>
      <c r="R66" s="6">
        <f t="shared" si="12"/>
        <v>5.4091232886330921E-2</v>
      </c>
      <c r="S66" s="2"/>
      <c r="T66" s="2">
        <f>SUM(OSRRefT22_11x_0)</f>
        <v>7869</v>
      </c>
      <c r="U66" s="2"/>
      <c r="V66" s="6">
        <f t="shared" si="13"/>
        <v>2.4180686794192212E-2</v>
      </c>
      <c r="W66" s="2"/>
      <c r="X66" s="2">
        <f t="shared" si="14"/>
        <v>16012.09</v>
      </c>
      <c r="Y66" s="2"/>
      <c r="Z66" s="6">
        <f t="shared" si="15"/>
        <v>2.0348316177405006</v>
      </c>
    </row>
    <row r="67" spans="1:26" s="70" customFormat="1" ht="15" hidden="1" customHeight="1" outlineLevel="2" x14ac:dyDescent="0.3">
      <c r="A67" s="26"/>
      <c r="B67" s="12" t="str">
        <f>CONCATENATE("          ","6373"," - ","MAINTENANCE CONTRACTS")</f>
        <v xml:space="preserve">          6373 - MAINTENANCE CONTRACTS</v>
      </c>
      <c r="C67" s="12"/>
      <c r="D67" s="8">
        <v>364.08</v>
      </c>
      <c r="E67" s="3"/>
      <c r="F67" s="7">
        <f t="shared" si="8"/>
        <v>2.984243215494196E-3</v>
      </c>
      <c r="G67" s="3"/>
      <c r="H67" s="8"/>
      <c r="I67" s="3"/>
      <c r="J67" s="7">
        <f t="shared" si="9"/>
        <v>0</v>
      </c>
      <c r="K67" s="3"/>
      <c r="L67" s="8">
        <f t="shared" si="10"/>
        <v>364.08</v>
      </c>
      <c r="M67" s="3"/>
      <c r="N67" s="7">
        <f t="shared" si="11"/>
        <v>0</v>
      </c>
      <c r="O67" s="12"/>
      <c r="P67" s="8">
        <v>3453.56</v>
      </c>
      <c r="Q67" s="3"/>
      <c r="R67" s="7">
        <f t="shared" si="12"/>
        <v>7.8223949680235293E-3</v>
      </c>
      <c r="S67" s="3"/>
      <c r="T67" s="8">
        <v>2665</v>
      </c>
      <c r="U67" s="3"/>
      <c r="V67" s="7">
        <f t="shared" si="13"/>
        <v>8.1892909272489826E-3</v>
      </c>
      <c r="W67" s="3"/>
      <c r="X67" s="8">
        <f t="shared" si="14"/>
        <v>788.56</v>
      </c>
      <c r="Y67" s="3"/>
      <c r="Z67" s="7">
        <f t="shared" si="15"/>
        <v>0.29589493433395869</v>
      </c>
    </row>
    <row r="68" spans="1:26" s="70" customFormat="1" ht="15" hidden="1" customHeight="1" outlineLevel="2" x14ac:dyDescent="0.3">
      <c r="A68" s="26"/>
      <c r="B68" s="12" t="str">
        <f>CONCATENATE("          ","6375"," - ","OUTSIDE REPAIRS &amp; MAINTENANCE")</f>
        <v xml:space="preserve">          6375 - OUTSIDE REPAIRS &amp; MAINTENANCE</v>
      </c>
      <c r="C68" s="12"/>
      <c r="D68" s="8">
        <v>1439.3</v>
      </c>
      <c r="E68" s="3"/>
      <c r="F68" s="7">
        <f t="shared" si="8"/>
        <v>1.1797465557187421E-2</v>
      </c>
      <c r="G68" s="3"/>
      <c r="H68" s="8">
        <v>500</v>
      </c>
      <c r="I68" s="3"/>
      <c r="J68" s="7">
        <f t="shared" si="9"/>
        <v>3.6064367683441407E-3</v>
      </c>
      <c r="K68" s="3"/>
      <c r="L68" s="8">
        <f t="shared" si="10"/>
        <v>939.3</v>
      </c>
      <c r="M68" s="3"/>
      <c r="N68" s="7">
        <f t="shared" si="11"/>
        <v>1.8785999999999998</v>
      </c>
      <c r="O68" s="12"/>
      <c r="P68" s="8">
        <v>20427.53</v>
      </c>
      <c r="Q68" s="3"/>
      <c r="R68" s="7">
        <f t="shared" si="12"/>
        <v>4.6268837918307389E-2</v>
      </c>
      <c r="S68" s="3"/>
      <c r="T68" s="8">
        <v>5204</v>
      </c>
      <c r="U68" s="3"/>
      <c r="V68" s="7">
        <f t="shared" si="13"/>
        <v>1.5991395866943228E-2</v>
      </c>
      <c r="W68" s="3"/>
      <c r="X68" s="8">
        <f t="shared" si="14"/>
        <v>15223.529999999999</v>
      </c>
      <c r="Y68" s="3"/>
      <c r="Z68" s="7">
        <f t="shared" si="15"/>
        <v>2.9253516525749421</v>
      </c>
    </row>
    <row r="69" spans="1:26" s="69" customFormat="1" ht="15" customHeight="1" outlineLevel="1" collapsed="1" x14ac:dyDescent="0.3">
      <c r="A69" s="25"/>
      <c r="B69" s="14" t="str">
        <f>CONCATENATE("     ","Services                                          ")</f>
        <v xml:space="preserve">     Services                                          </v>
      </c>
      <c r="C69" s="14"/>
      <c r="D69" s="2">
        <f>SUM(OSRRefD22_12x_0)</f>
        <v>8085.54</v>
      </c>
      <c r="E69" s="2"/>
      <c r="F69" s="6">
        <f t="shared" si="8"/>
        <v>6.6274494310610152E-2</v>
      </c>
      <c r="G69" s="2"/>
      <c r="H69" s="2">
        <f>SUM(OSRRefH22_12x_0)</f>
        <v>4857</v>
      </c>
      <c r="I69" s="2"/>
      <c r="J69" s="6">
        <f t="shared" si="9"/>
        <v>3.5032926767694983E-2</v>
      </c>
      <c r="K69" s="2"/>
      <c r="L69" s="2">
        <f t="shared" si="10"/>
        <v>3228.54</v>
      </c>
      <c r="M69" s="2"/>
      <c r="N69" s="6">
        <f t="shared" si="11"/>
        <v>0.66471896232242123</v>
      </c>
      <c r="O69" s="14"/>
      <c r="P69" s="2">
        <f>SUM(OSRRefP22_12x_0)</f>
        <v>40741.5</v>
      </c>
      <c r="Q69" s="2"/>
      <c r="R69" s="6">
        <f t="shared" si="12"/>
        <v>9.2280459754494087E-2</v>
      </c>
      <c r="S69" s="2"/>
      <c r="T69" s="2">
        <f>SUM(OSRRefT22_12x_0)</f>
        <v>39222</v>
      </c>
      <c r="U69" s="2"/>
      <c r="V69" s="6">
        <f t="shared" si="13"/>
        <v>0.12052546669739571</v>
      </c>
      <c r="W69" s="2"/>
      <c r="X69" s="2">
        <f t="shared" si="14"/>
        <v>1519.5</v>
      </c>
      <c r="Y69" s="2"/>
      <c r="Z69" s="6">
        <f t="shared" si="15"/>
        <v>3.874101269695579E-2</v>
      </c>
    </row>
    <row r="70" spans="1:26" s="70" customFormat="1" ht="15" hidden="1" customHeight="1" outlineLevel="2" x14ac:dyDescent="0.3">
      <c r="A70" s="26"/>
      <c r="B70" s="12" t="str">
        <f>CONCATENATE("          ","6282"," - ","JANITORIAL/EXTERMINATOR EXPENS")</f>
        <v xml:space="preserve">          6282 - JANITORIAL/EXTERMINATOR EXPENS</v>
      </c>
      <c r="C70" s="12"/>
      <c r="D70" s="8">
        <v>351.55</v>
      </c>
      <c r="E70" s="3"/>
      <c r="F70" s="7">
        <f t="shared" si="8"/>
        <v>2.8815389540952116E-3</v>
      </c>
      <c r="G70" s="3"/>
      <c r="H70" s="8">
        <v>328</v>
      </c>
      <c r="I70" s="3"/>
      <c r="J70" s="7">
        <f t="shared" si="9"/>
        <v>2.3658225200337561E-3</v>
      </c>
      <c r="K70" s="3"/>
      <c r="L70" s="8">
        <f t="shared" si="10"/>
        <v>23.550000000000011</v>
      </c>
      <c r="M70" s="3"/>
      <c r="N70" s="7">
        <f t="shared" si="11"/>
        <v>7.1798780487804914E-2</v>
      </c>
      <c r="O70" s="12"/>
      <c r="P70" s="8">
        <v>2460.85</v>
      </c>
      <c r="Q70" s="3"/>
      <c r="R70" s="7">
        <f t="shared" si="12"/>
        <v>5.573883371668858E-3</v>
      </c>
      <c r="S70" s="3"/>
      <c r="T70" s="8">
        <v>2624</v>
      </c>
      <c r="U70" s="3"/>
      <c r="V70" s="7">
        <f t="shared" si="13"/>
        <v>8.0633018360605369E-3</v>
      </c>
      <c r="W70" s="3"/>
      <c r="X70" s="8">
        <f t="shared" si="14"/>
        <v>-163.15000000000009</v>
      </c>
      <c r="Y70" s="3"/>
      <c r="Z70" s="7">
        <f t="shared" si="15"/>
        <v>-6.217606707317077E-2</v>
      </c>
    </row>
    <row r="71" spans="1:26" s="70" customFormat="1" ht="15" hidden="1" customHeight="1" outlineLevel="2" x14ac:dyDescent="0.3">
      <c r="A71" s="26"/>
      <c r="B71" s="12" t="str">
        <f>CONCATENATE("          ","6284"," - ","TRASH REMOVAL EXPENSE")</f>
        <v xml:space="preserve">          6284 - TRASH REMOVAL EXPENSE</v>
      </c>
      <c r="C71" s="12"/>
      <c r="D71" s="8"/>
      <c r="E71" s="3"/>
      <c r="F71" s="7">
        <f t="shared" si="8"/>
        <v>0</v>
      </c>
      <c r="G71" s="3"/>
      <c r="H71" s="8">
        <v>1000</v>
      </c>
      <c r="I71" s="3"/>
      <c r="J71" s="7">
        <f t="shared" si="9"/>
        <v>7.2128735366882813E-3</v>
      </c>
      <c r="K71" s="3"/>
      <c r="L71" s="8">
        <f t="shared" si="10"/>
        <v>-1000</v>
      </c>
      <c r="M71" s="3"/>
      <c r="N71" s="7">
        <f t="shared" si="11"/>
        <v>-1</v>
      </c>
      <c r="O71" s="12"/>
      <c r="P71" s="8"/>
      <c r="Q71" s="3"/>
      <c r="R71" s="7">
        <f t="shared" si="12"/>
        <v>0</v>
      </c>
      <c r="S71" s="3"/>
      <c r="T71" s="8">
        <v>8000</v>
      </c>
      <c r="U71" s="3"/>
      <c r="V71" s="7">
        <f t="shared" si="13"/>
        <v>2.4583237305062611E-2</v>
      </c>
      <c r="W71" s="3"/>
      <c r="X71" s="8">
        <f t="shared" si="14"/>
        <v>-8000</v>
      </c>
      <c r="Y71" s="3"/>
      <c r="Z71" s="7">
        <f t="shared" si="15"/>
        <v>-1</v>
      </c>
    </row>
    <row r="72" spans="1:26" s="70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8">
        <v>7414.79</v>
      </c>
      <c r="E72" s="3"/>
      <c r="F72" s="7">
        <f t="shared" si="8"/>
        <v>6.077657864154639E-2</v>
      </c>
      <c r="G72" s="3"/>
      <c r="H72" s="8">
        <v>3041</v>
      </c>
      <c r="I72" s="3"/>
      <c r="J72" s="7">
        <f t="shared" si="9"/>
        <v>2.1934348425069063E-2</v>
      </c>
      <c r="K72" s="3"/>
      <c r="L72" s="8">
        <f t="shared" si="10"/>
        <v>4373.79</v>
      </c>
      <c r="M72" s="3"/>
      <c r="N72" s="7">
        <f t="shared" si="11"/>
        <v>1.4382735942124301</v>
      </c>
      <c r="O72" s="12"/>
      <c r="P72" s="8">
        <v>36153.79</v>
      </c>
      <c r="Q72" s="3"/>
      <c r="R72" s="7">
        <f t="shared" si="12"/>
        <v>8.1889188249510469E-2</v>
      </c>
      <c r="S72" s="3"/>
      <c r="T72" s="8">
        <v>24328</v>
      </c>
      <c r="U72" s="3"/>
      <c r="V72" s="7">
        <f t="shared" si="13"/>
        <v>7.4757624644695403E-2</v>
      </c>
      <c r="W72" s="3"/>
      <c r="X72" s="8">
        <f t="shared" si="14"/>
        <v>11825.79</v>
      </c>
      <c r="Y72" s="3"/>
      <c r="Z72" s="7">
        <f t="shared" si="15"/>
        <v>0.48609791187109508</v>
      </c>
    </row>
    <row r="73" spans="1:26" s="70" customFormat="1" ht="15" hidden="1" customHeight="1" outlineLevel="2" x14ac:dyDescent="0.3">
      <c r="A73" s="26"/>
      <c r="B73" s="12" t="str">
        <f>CONCATENATE("          ","6286"," - ","LAUNDRY EXPENSE")</f>
        <v xml:space="preserve">          6286 - LAUNDRY EXPENSE</v>
      </c>
      <c r="C73" s="12"/>
      <c r="D73" s="8">
        <v>319.2</v>
      </c>
      <c r="E73" s="3"/>
      <c r="F73" s="7">
        <f t="shared" si="8"/>
        <v>2.6163767149685437E-3</v>
      </c>
      <c r="G73" s="3"/>
      <c r="H73" s="8">
        <v>488</v>
      </c>
      <c r="I73" s="3"/>
      <c r="J73" s="7">
        <f t="shared" si="9"/>
        <v>3.5198822859038811E-3</v>
      </c>
      <c r="K73" s="3"/>
      <c r="L73" s="8">
        <f t="shared" si="10"/>
        <v>-168.8</v>
      </c>
      <c r="M73" s="3"/>
      <c r="N73" s="7">
        <f t="shared" si="11"/>
        <v>-0.34590163934426232</v>
      </c>
      <c r="O73" s="12"/>
      <c r="P73" s="8">
        <v>2126.86</v>
      </c>
      <c r="Q73" s="3"/>
      <c r="R73" s="7">
        <f t="shared" si="12"/>
        <v>4.8173881333147608E-3</v>
      </c>
      <c r="S73" s="3"/>
      <c r="T73" s="8">
        <v>4270</v>
      </c>
      <c r="U73" s="3"/>
      <c r="V73" s="7">
        <f t="shared" si="13"/>
        <v>1.3121302911577168E-2</v>
      </c>
      <c r="W73" s="3"/>
      <c r="X73" s="8">
        <f t="shared" si="14"/>
        <v>-2143.14</v>
      </c>
      <c r="Y73" s="3"/>
      <c r="Z73" s="7">
        <f t="shared" si="15"/>
        <v>-0.50190632318501172</v>
      </c>
    </row>
    <row r="74" spans="1:26" s="69" customFormat="1" ht="15" customHeight="1" outlineLevel="1" collapsed="1" x14ac:dyDescent="0.3">
      <c r="A74" s="2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SUM(OSRRefD22_13x_0)</f>
        <v>389.38</v>
      </c>
      <c r="E74" s="2"/>
      <c r="F74" s="6">
        <f t="shared" si="8"/>
        <v>3.1916189388297355E-3</v>
      </c>
      <c r="G74" s="2"/>
      <c r="H74" s="2">
        <f>SUM(OSRRefH22_13x_0)</f>
        <v>380</v>
      </c>
      <c r="I74" s="2"/>
      <c r="J74" s="6">
        <f t="shared" si="9"/>
        <v>2.740891943941547E-3</v>
      </c>
      <c r="K74" s="2"/>
      <c r="L74" s="2">
        <f t="shared" si="10"/>
        <v>9.3799999999999955</v>
      </c>
      <c r="M74" s="2"/>
      <c r="N74" s="6">
        <f t="shared" si="11"/>
        <v>2.4684210526315777E-2</v>
      </c>
      <c r="O74" s="14"/>
      <c r="P74" s="2">
        <f>SUM(OSRRefP22_13x_0)</f>
        <v>3227.53</v>
      </c>
      <c r="Q74" s="2"/>
      <c r="R74" s="6">
        <f t="shared" si="12"/>
        <v>7.3104316795263389E-3</v>
      </c>
      <c r="S74" s="2"/>
      <c r="T74" s="2">
        <f>SUM(OSRRefT22_13x_0)</f>
        <v>3040</v>
      </c>
      <c r="U74" s="2"/>
      <c r="V74" s="6">
        <f t="shared" si="13"/>
        <v>9.3416301759237912E-3</v>
      </c>
      <c r="W74" s="2"/>
      <c r="X74" s="2">
        <f t="shared" si="14"/>
        <v>187.5300000000002</v>
      </c>
      <c r="Y74" s="2"/>
      <c r="Z74" s="6">
        <f t="shared" si="15"/>
        <v>6.1687500000000069E-2</v>
      </c>
    </row>
    <row r="75" spans="1:26" s="70" customFormat="1" ht="15" hidden="1" customHeight="1" outlineLevel="2" x14ac:dyDescent="0.3">
      <c r="A75" s="26"/>
      <c r="B75" s="12" t="str">
        <f>CONCATENATE("          ","6275"," - ","SUBSCRIPTIONS")</f>
        <v xml:space="preserve">          6275 - SUBSCRIPTIONS</v>
      </c>
      <c r="C75" s="12"/>
      <c r="D75" s="8">
        <v>389.38</v>
      </c>
      <c r="E75" s="3"/>
      <c r="F75" s="7">
        <f t="shared" si="8"/>
        <v>3.1916189388297355E-3</v>
      </c>
      <c r="G75" s="3"/>
      <c r="H75" s="8">
        <v>380</v>
      </c>
      <c r="I75" s="3"/>
      <c r="J75" s="7">
        <f t="shared" si="9"/>
        <v>2.740891943941547E-3</v>
      </c>
      <c r="K75" s="3"/>
      <c r="L75" s="8">
        <f t="shared" si="10"/>
        <v>9.3799999999999955</v>
      </c>
      <c r="M75" s="3"/>
      <c r="N75" s="7">
        <f t="shared" si="11"/>
        <v>2.4684210526315777E-2</v>
      </c>
      <c r="O75" s="12"/>
      <c r="P75" s="8">
        <v>3227.53</v>
      </c>
      <c r="Q75" s="3"/>
      <c r="R75" s="7">
        <f t="shared" si="12"/>
        <v>7.3104316795263389E-3</v>
      </c>
      <c r="S75" s="3"/>
      <c r="T75" s="8">
        <v>3040</v>
      </c>
      <c r="U75" s="3"/>
      <c r="V75" s="7">
        <f t="shared" si="13"/>
        <v>9.3416301759237912E-3</v>
      </c>
      <c r="W75" s="3"/>
      <c r="X75" s="8">
        <f t="shared" si="14"/>
        <v>187.5300000000002</v>
      </c>
      <c r="Y75" s="3"/>
      <c r="Z75" s="7">
        <f t="shared" si="15"/>
        <v>6.1687500000000069E-2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1572.1999999999998</v>
      </c>
      <c r="E76" s="2"/>
      <c r="F76" s="6">
        <f t="shared" si="8"/>
        <v>1.2886802854866992E-2</v>
      </c>
      <c r="G76" s="2"/>
      <c r="H76" s="2">
        <f>SUM(OSRRefH22_14x_0)</f>
        <v>700</v>
      </c>
      <c r="I76" s="2"/>
      <c r="J76" s="6">
        <f t="shared" si="9"/>
        <v>5.0490114756817969E-3</v>
      </c>
      <c r="K76" s="2"/>
      <c r="L76" s="2">
        <f t="shared" si="10"/>
        <v>872.19999999999982</v>
      </c>
      <c r="M76" s="2"/>
      <c r="N76" s="6">
        <f t="shared" si="11"/>
        <v>1.2459999999999998</v>
      </c>
      <c r="O76" s="14"/>
      <c r="P76" s="2">
        <f>SUM(OSRRefP22_14x_0)</f>
        <v>11977.650000000001</v>
      </c>
      <c r="Q76" s="2"/>
      <c r="R76" s="6">
        <f t="shared" si="12"/>
        <v>2.7129660144531161E-2</v>
      </c>
      <c r="S76" s="2"/>
      <c r="T76" s="2">
        <f>SUM(OSRRefT22_14x_0)</f>
        <v>8873</v>
      </c>
      <c r="U76" s="2"/>
      <c r="V76" s="6">
        <f t="shared" si="13"/>
        <v>2.7265883075977569E-2</v>
      </c>
      <c r="W76" s="2"/>
      <c r="X76" s="2">
        <f t="shared" si="14"/>
        <v>3104.6500000000015</v>
      </c>
      <c r="Y76" s="2"/>
      <c r="Z76" s="6">
        <f t="shared" si="15"/>
        <v>0.34989856869153629</v>
      </c>
    </row>
    <row r="77" spans="1:26" s="70" customFormat="1" ht="15" hidden="1" customHeight="1" outlineLevel="2" x14ac:dyDescent="0.3">
      <c r="A77" s="26"/>
      <c r="B77" s="12" t="str">
        <f>CONCATENATE("          ","6234"," - ","EXPENDABLE SUPPLIES &amp; EQUIPMEN")</f>
        <v xml:space="preserve">          6234 - EXPENDABLE SUPPLIES &amp; EQUIPMEN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57.77</v>
      </c>
      <c r="Q77" s="3"/>
      <c r="R77" s="7">
        <f t="shared" si="12"/>
        <v>1.3085041444269661E-4</v>
      </c>
      <c r="S77" s="3"/>
      <c r="T77" s="8"/>
      <c r="U77" s="3"/>
      <c r="V77" s="7">
        <f t="shared" si="13"/>
        <v>0</v>
      </c>
      <c r="W77" s="3"/>
      <c r="X77" s="8">
        <f t="shared" si="14"/>
        <v>57.77</v>
      </c>
      <c r="Y77" s="3"/>
      <c r="Z77" s="7">
        <f t="shared" si="15"/>
        <v>0</v>
      </c>
    </row>
    <row r="78" spans="1:26" s="70" customFormat="1" ht="15" hidden="1" customHeight="1" outlineLevel="2" x14ac:dyDescent="0.3">
      <c r="A78" s="26"/>
      <c r="B78" s="12" t="str">
        <f>CONCATENATE("          ","6237"," - ","JANITORIAL SUPPLIES")</f>
        <v xml:space="preserve">          6237 - JANITORIAL SUPPLIES</v>
      </c>
      <c r="C78" s="12"/>
      <c r="D78" s="8">
        <v>612.49</v>
      </c>
      <c r="E78" s="3"/>
      <c r="F78" s="7">
        <f t="shared" si="8"/>
        <v>5.0203777385685565E-3</v>
      </c>
      <c r="G78" s="3"/>
      <c r="H78" s="8"/>
      <c r="I78" s="3"/>
      <c r="J78" s="7">
        <f t="shared" si="9"/>
        <v>0</v>
      </c>
      <c r="K78" s="3"/>
      <c r="L78" s="8">
        <f t="shared" si="10"/>
        <v>612.49</v>
      </c>
      <c r="M78" s="3"/>
      <c r="N78" s="7">
        <f t="shared" si="11"/>
        <v>0</v>
      </c>
      <c r="O78" s="12"/>
      <c r="P78" s="8">
        <v>5615.22</v>
      </c>
      <c r="Q78" s="3"/>
      <c r="R78" s="7">
        <f t="shared" si="12"/>
        <v>1.2718605923263265E-2</v>
      </c>
      <c r="S78" s="3"/>
      <c r="T78" s="8">
        <v>1503</v>
      </c>
      <c r="U78" s="3"/>
      <c r="V78" s="7">
        <f t="shared" si="13"/>
        <v>4.6185757086886379E-3</v>
      </c>
      <c r="W78" s="3"/>
      <c r="X78" s="8">
        <f t="shared" si="14"/>
        <v>4112.22</v>
      </c>
      <c r="Y78" s="3"/>
      <c r="Z78" s="7">
        <f t="shared" si="15"/>
        <v>2.7360079840319362</v>
      </c>
    </row>
    <row r="79" spans="1:26" s="70" customFormat="1" ht="15" hidden="1" customHeight="1" outlineLevel="2" x14ac:dyDescent="0.3">
      <c r="A79" s="26"/>
      <c r="B79" s="12" t="str">
        <f>CONCATENATE("          ","6239"," - ","KITCHEN SUPPLIES")</f>
        <v xml:space="preserve">          6239 - KITCHEN SUPPLIES</v>
      </c>
      <c r="C79" s="12"/>
      <c r="D79" s="8">
        <v>238.27</v>
      </c>
      <c r="E79" s="3"/>
      <c r="F79" s="7">
        <f t="shared" si="8"/>
        <v>1.9530203003620141E-3</v>
      </c>
      <c r="G79" s="3"/>
      <c r="H79" s="8"/>
      <c r="I79" s="3"/>
      <c r="J79" s="7">
        <f t="shared" si="9"/>
        <v>0</v>
      </c>
      <c r="K79" s="3"/>
      <c r="L79" s="8">
        <f t="shared" si="10"/>
        <v>238.27</v>
      </c>
      <c r="M79" s="3"/>
      <c r="N79" s="7">
        <f t="shared" si="11"/>
        <v>0</v>
      </c>
      <c r="O79" s="12"/>
      <c r="P79" s="8">
        <v>1609.6</v>
      </c>
      <c r="Q79" s="3"/>
      <c r="R79" s="7">
        <f t="shared" si="12"/>
        <v>3.6457820163919756E-3</v>
      </c>
      <c r="S79" s="3"/>
      <c r="T79" s="8">
        <v>149</v>
      </c>
      <c r="U79" s="3"/>
      <c r="V79" s="7">
        <f t="shared" si="13"/>
        <v>4.5786279480679114E-4</v>
      </c>
      <c r="W79" s="3"/>
      <c r="X79" s="8">
        <f t="shared" si="14"/>
        <v>1460.6</v>
      </c>
      <c r="Y79" s="3"/>
      <c r="Z79" s="7">
        <f t="shared" si="15"/>
        <v>9.8026845637583886</v>
      </c>
    </row>
    <row r="80" spans="1:26" s="70" customFormat="1" ht="15" hidden="1" customHeight="1" outlineLevel="2" x14ac:dyDescent="0.3">
      <c r="A80" s="26"/>
      <c r="B80" s="12" t="str">
        <f>CONCATENATE("          ","6241"," - ","OFFICE EXPENSE")</f>
        <v xml:space="preserve">          6241 - OFFICE EXPENSE</v>
      </c>
      <c r="C80" s="12"/>
      <c r="D80" s="8">
        <v>151.79</v>
      </c>
      <c r="E80" s="3"/>
      <c r="F80" s="7">
        <f t="shared" si="8"/>
        <v>1.2441723733241704E-3</v>
      </c>
      <c r="G80" s="3"/>
      <c r="H80" s="8"/>
      <c r="I80" s="3"/>
      <c r="J80" s="7">
        <f t="shared" si="9"/>
        <v>0</v>
      </c>
      <c r="K80" s="3"/>
      <c r="L80" s="8">
        <f t="shared" si="10"/>
        <v>151.79</v>
      </c>
      <c r="M80" s="3"/>
      <c r="N80" s="7">
        <f t="shared" si="11"/>
        <v>0</v>
      </c>
      <c r="O80" s="12"/>
      <c r="P80" s="8">
        <v>3639.18</v>
      </c>
      <c r="Q80" s="3"/>
      <c r="R80" s="7">
        <f t="shared" si="12"/>
        <v>8.2428286520957687E-3</v>
      </c>
      <c r="S80" s="3"/>
      <c r="T80" s="8">
        <v>2827</v>
      </c>
      <c r="U80" s="3"/>
      <c r="V80" s="7">
        <f t="shared" si="13"/>
        <v>8.6871014826765004E-3</v>
      </c>
      <c r="W80" s="3"/>
      <c r="X80" s="8">
        <f t="shared" si="14"/>
        <v>812.17999999999984</v>
      </c>
      <c r="Y80" s="3"/>
      <c r="Z80" s="7">
        <f t="shared" si="15"/>
        <v>0.28729395118500173</v>
      </c>
    </row>
    <row r="81" spans="1:26" s="70" customFormat="1" ht="15" hidden="1" customHeight="1" outlineLevel="2" x14ac:dyDescent="0.3">
      <c r="A81" s="26"/>
      <c r="B81" s="12" t="str">
        <f>CONCATENATE("          ","6243"," - ","PAPER SUPPLIES")</f>
        <v xml:space="preserve">          6243 - PAPER SUPPLIES</v>
      </c>
      <c r="C81" s="12"/>
      <c r="D81" s="8">
        <v>569.65</v>
      </c>
      <c r="E81" s="3"/>
      <c r="F81" s="7">
        <f t="shared" si="8"/>
        <v>4.6692324426122521E-3</v>
      </c>
      <c r="G81" s="3"/>
      <c r="H81" s="8">
        <v>200</v>
      </c>
      <c r="I81" s="3"/>
      <c r="J81" s="7">
        <f t="shared" si="9"/>
        <v>1.4425747073376562E-3</v>
      </c>
      <c r="K81" s="3"/>
      <c r="L81" s="8">
        <f t="shared" si="10"/>
        <v>369.65</v>
      </c>
      <c r="M81" s="3"/>
      <c r="N81" s="7">
        <f t="shared" si="11"/>
        <v>1.8482499999999999</v>
      </c>
      <c r="O81" s="12"/>
      <c r="P81" s="8">
        <v>1055.8800000000001</v>
      </c>
      <c r="Q81" s="3"/>
      <c r="R81" s="7">
        <f t="shared" si="12"/>
        <v>2.3915931383374505E-3</v>
      </c>
      <c r="S81" s="3"/>
      <c r="T81" s="8">
        <v>2483</v>
      </c>
      <c r="U81" s="3"/>
      <c r="V81" s="7">
        <f t="shared" si="13"/>
        <v>7.6300222785588073E-3</v>
      </c>
      <c r="W81" s="3"/>
      <c r="X81" s="8">
        <f t="shared" si="14"/>
        <v>-1427.12</v>
      </c>
      <c r="Y81" s="3"/>
      <c r="Z81" s="7">
        <f t="shared" si="15"/>
        <v>-0.57475634313330648</v>
      </c>
    </row>
    <row r="82" spans="1:26" s="70" customFormat="1" ht="15" hidden="1" customHeight="1" outlineLevel="2" x14ac:dyDescent="0.3">
      <c r="A82" s="26"/>
      <c r="B82" s="12" t="str">
        <f>CONCATENATE("          ","6247"," - ","STORE SUPPLIES")</f>
        <v xml:space="preserve">          6247 - STORE SUPPLIES</v>
      </c>
      <c r="C82" s="12"/>
      <c r="D82" s="8"/>
      <c r="E82" s="3"/>
      <c r="F82" s="7">
        <f t="shared" si="8"/>
        <v>0</v>
      </c>
      <c r="G82" s="3"/>
      <c r="H82" s="8"/>
      <c r="I82" s="3"/>
      <c r="J82" s="7">
        <f t="shared" si="9"/>
        <v>0</v>
      </c>
      <c r="K82" s="3"/>
      <c r="L82" s="8">
        <f t="shared" si="10"/>
        <v>0</v>
      </c>
      <c r="M82" s="3"/>
      <c r="N82" s="7">
        <f t="shared" si="11"/>
        <v>0</v>
      </c>
      <c r="O82" s="12"/>
      <c r="P82" s="8"/>
      <c r="Q82" s="3"/>
      <c r="R82" s="7">
        <f t="shared" si="12"/>
        <v>0</v>
      </c>
      <c r="S82" s="3"/>
      <c r="T82" s="8">
        <v>411</v>
      </c>
      <c r="U82" s="3"/>
      <c r="V82" s="7">
        <f t="shared" si="13"/>
        <v>1.2629638165475917E-3</v>
      </c>
      <c r="W82" s="3"/>
      <c r="X82" s="8">
        <f t="shared" si="14"/>
        <v>-411</v>
      </c>
      <c r="Y82" s="3"/>
      <c r="Z82" s="7">
        <f t="shared" si="15"/>
        <v>-1</v>
      </c>
    </row>
    <row r="83" spans="1:26" s="70" customFormat="1" ht="15" hidden="1" customHeight="1" outlineLevel="2" x14ac:dyDescent="0.3">
      <c r="A83" s="26"/>
      <c r="B83" s="12" t="str">
        <f>CONCATENATE("          ","6248"," - ","UNIFORMS")</f>
        <v xml:space="preserve">          6248 - UNIFORMS</v>
      </c>
      <c r="C83" s="12"/>
      <c r="D83" s="8"/>
      <c r="E83" s="3"/>
      <c r="F83" s="7">
        <f t="shared" si="8"/>
        <v>0</v>
      </c>
      <c r="G83" s="3"/>
      <c r="H83" s="8">
        <v>500</v>
      </c>
      <c r="I83" s="3"/>
      <c r="J83" s="7">
        <f t="shared" si="9"/>
        <v>3.6064367683441407E-3</v>
      </c>
      <c r="K83" s="3"/>
      <c r="L83" s="8">
        <f t="shared" si="10"/>
        <v>-500</v>
      </c>
      <c r="M83" s="3"/>
      <c r="N83" s="7">
        <f t="shared" si="11"/>
        <v>-1</v>
      </c>
      <c r="O83" s="12"/>
      <c r="P83" s="8"/>
      <c r="Q83" s="3"/>
      <c r="R83" s="7">
        <f t="shared" si="12"/>
        <v>0</v>
      </c>
      <c r="S83" s="3"/>
      <c r="T83" s="8">
        <v>1500</v>
      </c>
      <c r="U83" s="3"/>
      <c r="V83" s="7">
        <f t="shared" si="13"/>
        <v>4.6093569946992399E-3</v>
      </c>
      <c r="W83" s="3"/>
      <c r="X83" s="8">
        <f t="shared" si="14"/>
        <v>-1500</v>
      </c>
      <c r="Y83" s="3"/>
      <c r="Z83" s="7">
        <f t="shared" si="15"/>
        <v>-1</v>
      </c>
    </row>
    <row r="84" spans="1:26" s="69" customFormat="1" ht="15" customHeight="1" outlineLevel="1" collapsed="1" x14ac:dyDescent="0.3">
      <c r="A84" s="25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SUM(OSRRefD22_15x_0)</f>
        <v>182</v>
      </c>
      <c r="E84" s="2"/>
      <c r="F84" s="6">
        <f t="shared" si="8"/>
        <v>1.4917937409908363E-3</v>
      </c>
      <c r="G84" s="2"/>
      <c r="H84" s="2">
        <f>SUM(OSRRefH22_15x_0)</f>
        <v>135</v>
      </c>
      <c r="I84" s="2"/>
      <c r="J84" s="6">
        <f t="shared" si="9"/>
        <v>9.7373792745291798E-4</v>
      </c>
      <c r="K84" s="2"/>
      <c r="L84" s="2">
        <f t="shared" si="10"/>
        <v>47</v>
      </c>
      <c r="M84" s="2"/>
      <c r="N84" s="6">
        <f t="shared" si="11"/>
        <v>0.34814814814814815</v>
      </c>
      <c r="O84" s="14"/>
      <c r="P84" s="2">
        <f>SUM(OSRRefP22_15x_0)</f>
        <v>1920.18</v>
      </c>
      <c r="Q84" s="2"/>
      <c r="R84" s="6">
        <f t="shared" si="12"/>
        <v>4.3492530518361985E-3</v>
      </c>
      <c r="S84" s="2"/>
      <c r="T84" s="2">
        <f>SUM(OSRRefT22_15x_0)</f>
        <v>1080</v>
      </c>
      <c r="U84" s="2"/>
      <c r="V84" s="6">
        <f t="shared" si="13"/>
        <v>3.3187370361834525E-3</v>
      </c>
      <c r="W84" s="2"/>
      <c r="X84" s="2">
        <f t="shared" si="14"/>
        <v>840.18000000000006</v>
      </c>
      <c r="Y84" s="2"/>
      <c r="Z84" s="6">
        <f t="shared" si="15"/>
        <v>0.77794444444444455</v>
      </c>
    </row>
    <row r="85" spans="1:26" s="70" customFormat="1" ht="15" hidden="1" customHeight="1" outlineLevel="2" x14ac:dyDescent="0.3">
      <c r="A85" s="26"/>
      <c r="B85" s="12" t="str">
        <f>CONCATENATE("          ","6303"," - ","DATA PHONE LINES")</f>
        <v xml:space="preserve">          6303 - DATA PHONE LINES</v>
      </c>
      <c r="C85" s="12"/>
      <c r="D85" s="8"/>
      <c r="E85" s="3"/>
      <c r="F85" s="7">
        <f t="shared" si="8"/>
        <v>0</v>
      </c>
      <c r="G85" s="3"/>
      <c r="H85" s="8">
        <v>60</v>
      </c>
      <c r="I85" s="3"/>
      <c r="J85" s="7">
        <f t="shared" si="9"/>
        <v>4.3277241220129685E-4</v>
      </c>
      <c r="K85" s="3"/>
      <c r="L85" s="8">
        <f t="shared" si="10"/>
        <v>-60</v>
      </c>
      <c r="M85" s="3"/>
      <c r="N85" s="7">
        <f t="shared" si="11"/>
        <v>-1</v>
      </c>
      <c r="O85" s="12"/>
      <c r="P85" s="8"/>
      <c r="Q85" s="3"/>
      <c r="R85" s="7">
        <f t="shared" si="12"/>
        <v>0</v>
      </c>
      <c r="S85" s="3"/>
      <c r="T85" s="8">
        <v>480</v>
      </c>
      <c r="U85" s="3"/>
      <c r="V85" s="7">
        <f t="shared" si="13"/>
        <v>1.4749942383037566E-3</v>
      </c>
      <c r="W85" s="3"/>
      <c r="X85" s="8">
        <f t="shared" si="14"/>
        <v>-480</v>
      </c>
      <c r="Y85" s="3"/>
      <c r="Z85" s="7">
        <f t="shared" si="15"/>
        <v>-1</v>
      </c>
    </row>
    <row r="86" spans="1:26" s="70" customFormat="1" ht="15" hidden="1" customHeight="1" outlineLevel="2" x14ac:dyDescent="0.3">
      <c r="A86" s="26"/>
      <c r="B86" s="12" t="str">
        <f>CONCATENATE("          ","6309"," - ","TELEPHONE")</f>
        <v xml:space="preserve">          6309 - TELEPHONE</v>
      </c>
      <c r="C86" s="12"/>
      <c r="D86" s="8">
        <v>182</v>
      </c>
      <c r="E86" s="3"/>
      <c r="F86" s="7">
        <f t="shared" si="8"/>
        <v>1.4917937409908363E-3</v>
      </c>
      <c r="G86" s="3"/>
      <c r="H86" s="8">
        <v>75</v>
      </c>
      <c r="I86" s="3"/>
      <c r="J86" s="7">
        <f t="shared" si="9"/>
        <v>5.4096551525162112E-4</v>
      </c>
      <c r="K86" s="3"/>
      <c r="L86" s="8">
        <f t="shared" si="10"/>
        <v>107</v>
      </c>
      <c r="M86" s="3"/>
      <c r="N86" s="7">
        <f t="shared" si="11"/>
        <v>1.4266666666666667</v>
      </c>
      <c r="O86" s="12"/>
      <c r="P86" s="8">
        <v>1920.18</v>
      </c>
      <c r="Q86" s="3"/>
      <c r="R86" s="7">
        <f t="shared" si="12"/>
        <v>4.3492530518361985E-3</v>
      </c>
      <c r="S86" s="3"/>
      <c r="T86" s="8">
        <v>600</v>
      </c>
      <c r="U86" s="3"/>
      <c r="V86" s="7">
        <f t="shared" si="13"/>
        <v>1.8437427978796957E-3</v>
      </c>
      <c r="W86" s="3"/>
      <c r="X86" s="8">
        <f t="shared" si="14"/>
        <v>1320.18</v>
      </c>
      <c r="Y86" s="3"/>
      <c r="Z86" s="7">
        <f t="shared" si="15"/>
        <v>2.2002999999999999</v>
      </c>
    </row>
    <row r="87" spans="1:26" s="69" customFormat="1" ht="15" customHeight="1" outlineLevel="1" collapsed="1" x14ac:dyDescent="0.3">
      <c r="A87" s="25"/>
      <c r="B87" s="14" t="str">
        <f>CONCATENATE("     ","Training                                          ")</f>
        <v xml:space="preserve">     Training                                          </v>
      </c>
      <c r="C87" s="14"/>
      <c r="D87" s="2">
        <f>SUM(OSRRefD22_16x_0)</f>
        <v>160</v>
      </c>
      <c r="E87" s="2"/>
      <c r="F87" s="6">
        <f t="shared" si="8"/>
        <v>1.311467025046889E-3</v>
      </c>
      <c r="G87" s="2"/>
      <c r="H87" s="2">
        <f>SUM(OSRRefH22_16x_0)</f>
        <v>0</v>
      </c>
      <c r="I87" s="2"/>
      <c r="J87" s="6">
        <f t="shared" si="9"/>
        <v>0</v>
      </c>
      <c r="K87" s="2"/>
      <c r="L87" s="2">
        <f t="shared" si="10"/>
        <v>160</v>
      </c>
      <c r="M87" s="2"/>
      <c r="N87" s="6">
        <f t="shared" si="11"/>
        <v>0</v>
      </c>
      <c r="O87" s="14"/>
      <c r="P87" s="2">
        <f>SUM(OSRRefP22_16x_0)</f>
        <v>160</v>
      </c>
      <c r="Q87" s="2"/>
      <c r="R87" s="6">
        <f t="shared" si="12"/>
        <v>3.6240377896540517E-4</v>
      </c>
      <c r="S87" s="2"/>
      <c r="T87" s="2">
        <f>SUM(OSRRefT22_16x_0)</f>
        <v>460</v>
      </c>
      <c r="U87" s="2"/>
      <c r="V87" s="6">
        <f t="shared" si="13"/>
        <v>1.4135361450411002E-3</v>
      </c>
      <c r="W87" s="2"/>
      <c r="X87" s="2">
        <f t="shared" si="14"/>
        <v>-300</v>
      </c>
      <c r="Y87" s="2"/>
      <c r="Z87" s="6">
        <f t="shared" si="15"/>
        <v>-0.65217391304347827</v>
      </c>
    </row>
    <row r="88" spans="1:26" s="70" customFormat="1" ht="15" hidden="1" customHeight="1" outlineLevel="2" x14ac:dyDescent="0.3">
      <c r="A88" s="26"/>
      <c r="B88" s="12" t="str">
        <f>CONCATENATE("          ","6376"," - ","TRAINING")</f>
        <v xml:space="preserve">          6376 - TRAINING</v>
      </c>
      <c r="C88" s="12"/>
      <c r="D88" s="8">
        <v>160</v>
      </c>
      <c r="E88" s="3"/>
      <c r="F88" s="7">
        <f t="shared" si="8"/>
        <v>1.311467025046889E-3</v>
      </c>
      <c r="G88" s="3"/>
      <c r="H88" s="8"/>
      <c r="I88" s="3"/>
      <c r="J88" s="7">
        <f t="shared" si="9"/>
        <v>0</v>
      </c>
      <c r="K88" s="3"/>
      <c r="L88" s="8">
        <f t="shared" si="10"/>
        <v>160</v>
      </c>
      <c r="M88" s="3"/>
      <c r="N88" s="7">
        <f t="shared" si="11"/>
        <v>0</v>
      </c>
      <c r="O88" s="12"/>
      <c r="P88" s="8">
        <v>160</v>
      </c>
      <c r="Q88" s="3"/>
      <c r="R88" s="7">
        <f t="shared" si="12"/>
        <v>3.6240377896540517E-4</v>
      </c>
      <c r="S88" s="3"/>
      <c r="T88" s="8">
        <v>460</v>
      </c>
      <c r="U88" s="3"/>
      <c r="V88" s="7">
        <f t="shared" si="13"/>
        <v>1.4135361450411002E-3</v>
      </c>
      <c r="W88" s="3"/>
      <c r="X88" s="8">
        <f t="shared" si="14"/>
        <v>-300</v>
      </c>
      <c r="Y88" s="3"/>
      <c r="Z88" s="7">
        <f t="shared" si="15"/>
        <v>-0.65217391304347827</v>
      </c>
    </row>
    <row r="89" spans="1:26" s="69" customFormat="1" ht="15" customHeight="1" outlineLevel="1" collapsed="1" x14ac:dyDescent="0.3">
      <c r="A89" s="25"/>
      <c r="B89" s="14" t="str">
        <f>CONCATENATE("     ","Utilities                                         ")</f>
        <v xml:space="preserve">     Utilities                                         </v>
      </c>
      <c r="C89" s="14"/>
      <c r="D89" s="2">
        <f>SUM(OSRRefD22_17x_0)</f>
        <v>2400</v>
      </c>
      <c r="E89" s="2"/>
      <c r="F89" s="6">
        <f t="shared" si="8"/>
        <v>1.9672005375703336E-2</v>
      </c>
      <c r="G89" s="2"/>
      <c r="H89" s="2">
        <f>SUM(OSRRefH22_17x_0)</f>
        <v>2417</v>
      </c>
      <c r="I89" s="2"/>
      <c r="J89" s="6">
        <f t="shared" si="9"/>
        <v>1.7433515338175574E-2</v>
      </c>
      <c r="K89" s="2"/>
      <c r="L89" s="2">
        <f t="shared" si="10"/>
        <v>-17</v>
      </c>
      <c r="M89" s="2"/>
      <c r="N89" s="6">
        <f t="shared" si="11"/>
        <v>-7.0335126189491103E-3</v>
      </c>
      <c r="O89" s="14"/>
      <c r="P89" s="2">
        <f>SUM(OSRRefP22_17x_0)</f>
        <v>16800</v>
      </c>
      <c r="Q89" s="2"/>
      <c r="R89" s="6">
        <f t="shared" si="12"/>
        <v>3.8052396791367543E-2</v>
      </c>
      <c r="S89" s="2"/>
      <c r="T89" s="2">
        <f>SUM(OSRRefT22_17x_0)</f>
        <v>19336</v>
      </c>
      <c r="U89" s="2"/>
      <c r="V89" s="6">
        <f t="shared" si="13"/>
        <v>5.941768456633633E-2</v>
      </c>
      <c r="W89" s="2"/>
      <c r="X89" s="2">
        <f t="shared" si="14"/>
        <v>-2536</v>
      </c>
      <c r="Y89" s="2"/>
      <c r="Z89" s="6">
        <f t="shared" si="15"/>
        <v>-0.13115432354158046</v>
      </c>
    </row>
    <row r="90" spans="1:26" s="70" customFormat="1" ht="15" hidden="1" customHeight="1" outlineLevel="2" x14ac:dyDescent="0.3">
      <c r="A90" s="26"/>
      <c r="B90" s="12" t="str">
        <f>CONCATENATE("          ","6274"," - ","UTILITIES")</f>
        <v xml:space="preserve">          6274 - UTILITIES</v>
      </c>
      <c r="C90" s="12"/>
      <c r="D90" s="8">
        <v>2400</v>
      </c>
      <c r="E90" s="3"/>
      <c r="F90" s="7">
        <f t="shared" si="8"/>
        <v>1.9672005375703336E-2</v>
      </c>
      <c r="G90" s="3"/>
      <c r="H90" s="8">
        <v>2417</v>
      </c>
      <c r="I90" s="3"/>
      <c r="J90" s="7">
        <f t="shared" si="9"/>
        <v>1.7433515338175574E-2</v>
      </c>
      <c r="K90" s="3"/>
      <c r="L90" s="8">
        <f t="shared" si="10"/>
        <v>-17</v>
      </c>
      <c r="M90" s="3"/>
      <c r="N90" s="7">
        <f t="shared" si="11"/>
        <v>-7.0335126189491103E-3</v>
      </c>
      <c r="O90" s="12"/>
      <c r="P90" s="8">
        <v>16800</v>
      </c>
      <c r="Q90" s="3"/>
      <c r="R90" s="7">
        <f t="shared" si="12"/>
        <v>3.8052396791367543E-2</v>
      </c>
      <c r="S90" s="3"/>
      <c r="T90" s="8">
        <v>19336</v>
      </c>
      <c r="U90" s="3"/>
      <c r="V90" s="7">
        <f t="shared" si="13"/>
        <v>5.941768456633633E-2</v>
      </c>
      <c r="W90" s="3"/>
      <c r="X90" s="8">
        <f t="shared" si="14"/>
        <v>-2536</v>
      </c>
      <c r="Y90" s="3"/>
      <c r="Z90" s="7">
        <f t="shared" si="15"/>
        <v>-0.13115432354158046</v>
      </c>
    </row>
    <row r="91" spans="1:26" s="65" customFormat="1" ht="15" customHeight="1" x14ac:dyDescent="0.3">
      <c r="A91" s="35"/>
      <c r="B91" s="35"/>
      <c r="C91" s="35"/>
      <c r="D91" s="2"/>
      <c r="E91" s="2"/>
      <c r="F91" s="6"/>
      <c r="G91" s="2"/>
      <c r="H91" s="2"/>
      <c r="I91" s="2"/>
      <c r="J91" s="6"/>
      <c r="K91" s="2"/>
      <c r="L91" s="2"/>
      <c r="M91" s="2"/>
      <c r="N91" s="6"/>
      <c r="O91" s="35"/>
      <c r="P91" s="2"/>
      <c r="Q91" s="2"/>
      <c r="R91" s="6"/>
      <c r="S91" s="2"/>
      <c r="T91" s="2"/>
      <c r="U91" s="2"/>
      <c r="V91" s="6"/>
      <c r="W91" s="2"/>
      <c r="X91" s="2"/>
      <c r="Y91" s="2"/>
      <c r="Z91" s="6"/>
    </row>
    <row r="92" spans="1:26" s="63" customFormat="1" ht="15" customHeight="1" collapsed="1" x14ac:dyDescent="0.3">
      <c r="A92" s="11"/>
      <c r="B92" s="27" t="s">
        <v>291</v>
      </c>
      <c r="C92" s="11"/>
      <c r="D92" s="5">
        <f>SUM(OSRRefD25x_0)</f>
        <v>3.7</v>
      </c>
      <c r="E92" s="5"/>
      <c r="F92" s="13">
        <f>IF(D$12=0,0,D92/D$12)</f>
        <v>3.032767495420931E-5</v>
      </c>
      <c r="G92" s="5"/>
      <c r="H92" s="5">
        <f>SUM(OSRRefH25x_0)</f>
        <v>0</v>
      </c>
      <c r="I92" s="5"/>
      <c r="J92" s="13">
        <f>IF(H$12=0,0,H92/H$12)</f>
        <v>0</v>
      </c>
      <c r="K92" s="5"/>
      <c r="L92" s="5">
        <f>+D92-H92</f>
        <v>3.7</v>
      </c>
      <c r="M92" s="5"/>
      <c r="N92" s="13">
        <f>IF(H92=0,0,L92/H92)</f>
        <v>0</v>
      </c>
      <c r="O92" s="11"/>
      <c r="P92" s="5">
        <f>SUM(OSRRefP25x_0)</f>
        <v>6.03</v>
      </c>
      <c r="Q92" s="5"/>
      <c r="R92" s="13">
        <f>IF(P$12=0,0,P92/P$12)</f>
        <v>1.3658092419758707E-5</v>
      </c>
      <c r="S92" s="5"/>
      <c r="T92" s="5">
        <f>SUM(OSRRefT25x_0)</f>
        <v>0</v>
      </c>
      <c r="U92" s="5"/>
      <c r="V92" s="13">
        <f>IF(T$12=0,0,T92/T$12)</f>
        <v>0</v>
      </c>
      <c r="W92" s="5"/>
      <c r="X92" s="5">
        <f>+P92-T92</f>
        <v>6.03</v>
      </c>
      <c r="Y92" s="5"/>
      <c r="Z92" s="13">
        <f>IF(T92=0,0,X92/T92)</f>
        <v>0</v>
      </c>
    </row>
    <row r="93" spans="1:26" s="70" customFormat="1" ht="15" hidden="1" customHeight="1" outlineLevel="1" x14ac:dyDescent="0.3">
      <c r="A93" s="42"/>
      <c r="B93" s="12" t="str">
        <f>CONCATENATE("          ","9150"," - ","MISC. INCOME")</f>
        <v xml:space="preserve">          9150 - MISC. INCOME</v>
      </c>
      <c r="C93" s="12"/>
      <c r="D93" s="3">
        <f>--3.7</f>
        <v>3.7</v>
      </c>
      <c r="E93" s="3"/>
      <c r="F93" s="20">
        <f>IF(D$12=0,0,D93/D$12)</f>
        <v>3.032767495420931E-5</v>
      </c>
      <c r="G93" s="3"/>
      <c r="H93" s="3"/>
      <c r="I93" s="3"/>
      <c r="J93" s="20">
        <f>IF(H$12=0,0,H93/H$12)</f>
        <v>0</v>
      </c>
      <c r="K93" s="3"/>
      <c r="L93" s="3">
        <f>+D93-H93</f>
        <v>3.7</v>
      </c>
      <c r="M93" s="3"/>
      <c r="N93" s="20">
        <f>IF(H93=0,0,L93/H93)</f>
        <v>0</v>
      </c>
      <c r="O93" s="12"/>
      <c r="P93" s="3">
        <f>--6.03</f>
        <v>6.03</v>
      </c>
      <c r="Q93" s="3"/>
      <c r="R93" s="20">
        <f>IF(P$12=0,0,P93/P$12)</f>
        <v>1.3658092419758707E-5</v>
      </c>
      <c r="S93" s="3"/>
      <c r="T93" s="3"/>
      <c r="U93" s="3"/>
      <c r="V93" s="20">
        <f>IF(T$12=0,0,T93/T$12)</f>
        <v>0</v>
      </c>
      <c r="W93" s="3"/>
      <c r="X93" s="3">
        <f>+P93-T93</f>
        <v>6.03</v>
      </c>
      <c r="Y93" s="3"/>
      <c r="Z93" s="20">
        <f>IF(T93=0,0,X93/T93)</f>
        <v>0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11"/>
      <c r="B95" s="28" t="s">
        <v>292</v>
      </c>
      <c r="C95" s="28"/>
      <c r="D95" s="21">
        <f>+D23-D25+D92</f>
        <v>-4420.6400000000112</v>
      </c>
      <c r="E95" s="15"/>
      <c r="F95" s="22">
        <f>IF(D$12=0,0,D95/D$12)</f>
        <v>-3.6234522435020587E-2</v>
      </c>
      <c r="G95" s="15"/>
      <c r="H95" s="21">
        <f>+H23-H25+H92</f>
        <v>30646.550676296923</v>
      </c>
      <c r="I95" s="15"/>
      <c r="J95" s="22">
        <f>IF(H$12=0,0,H95/H$12)</f>
        <v>0.22104969436383842</v>
      </c>
      <c r="K95" s="16"/>
      <c r="L95" s="21">
        <f>+D95-H95</f>
        <v>-35067.190676296937</v>
      </c>
      <c r="M95" s="16"/>
      <c r="N95" s="22">
        <f>IF(H95=0,0,L95/H95)</f>
        <v>-1.1442459233566891</v>
      </c>
      <c r="O95" s="27"/>
      <c r="P95" s="21">
        <f>+P23-P25+P92</f>
        <v>-314890.39000000013</v>
      </c>
      <c r="Q95" s="15"/>
      <c r="R95" s="22">
        <f>IF(P$12=0,0,P95/P$12)</f>
        <v>-0.71323417059931427</v>
      </c>
      <c r="S95" s="15"/>
      <c r="T95" s="21">
        <f>+T23-T25+T92</f>
        <v>-234476.85626574734</v>
      </c>
      <c r="U95" s="15"/>
      <c r="V95" s="22">
        <f>IF(T$12=0,0,T95/T$12)</f>
        <v>-0.72052502501574045</v>
      </c>
      <c r="W95" s="16"/>
      <c r="X95" s="21">
        <f>+P95-T95</f>
        <v>-80413.533734252793</v>
      </c>
      <c r="Y95" s="16"/>
      <c r="Z95" s="22">
        <f>IF(T95=0,0,X95/T95)</f>
        <v>0.34294870297610563</v>
      </c>
    </row>
    <row r="96" spans="1:26" ht="15" customHeight="1" x14ac:dyDescent="0.3">
      <c r="A96" s="10"/>
      <c r="B96" s="11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49"/>
      <c r="B97" s="11" t="s">
        <v>293</v>
      </c>
      <c r="C97" s="11"/>
      <c r="D97" s="5">
        <v>12817.98</v>
      </c>
      <c r="E97" s="5"/>
      <c r="F97" s="13">
        <f>IF(D$12=0,0,D97/D$12)</f>
        <v>0.10506473811069077</v>
      </c>
      <c r="G97" s="5"/>
      <c r="H97" s="5">
        <v>16379</v>
      </c>
      <c r="I97" s="5"/>
      <c r="J97" s="13">
        <f>IF(H$12=0,0,H97/H$12)</f>
        <v>0.11813965565741735</v>
      </c>
      <c r="K97" s="5"/>
      <c r="L97" s="5">
        <f>+D97-H97</f>
        <v>-3561.0200000000004</v>
      </c>
      <c r="M97" s="5"/>
      <c r="N97" s="13">
        <f>IF(H97=0,0,L97/H97)</f>
        <v>-0.21741376152390257</v>
      </c>
      <c r="O97" s="11"/>
      <c r="P97" s="5">
        <v>55108.79</v>
      </c>
      <c r="Q97" s="5"/>
      <c r="R97" s="13">
        <f>IF(P$12=0,0,P97/P$12)</f>
        <v>0.12482271093881832</v>
      </c>
      <c r="S97" s="5"/>
      <c r="T97" s="5">
        <v>39783</v>
      </c>
      <c r="U97" s="5"/>
      <c r="V97" s="13">
        <f>IF(T$12=0,0,T97/T$12)</f>
        <v>0.12224936621341323</v>
      </c>
      <c r="W97" s="5"/>
      <c r="X97" s="5">
        <f>+P97-T97</f>
        <v>15325.79</v>
      </c>
      <c r="Y97" s="5"/>
      <c r="Z97" s="13">
        <f>IF(T97=0,0,X97/T97)</f>
        <v>0.38523464796521129</v>
      </c>
    </row>
    <row r="98" spans="1:26" ht="15" customHeight="1" x14ac:dyDescent="0.3">
      <c r="A98" s="10"/>
      <c r="B98" s="11"/>
      <c r="C98" s="11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O98" s="11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11"/>
      <c r="B99" s="28" t="s">
        <v>294</v>
      </c>
      <c r="C99" s="28"/>
      <c r="D99" s="33">
        <f>+D95-D97</f>
        <v>-17238.62000000001</v>
      </c>
      <c r="E99" s="15"/>
      <c r="F99" s="32">
        <f>IF(D$12=0,0,D99/D$12)</f>
        <v>-0.14129926054571135</v>
      </c>
      <c r="G99" s="15"/>
      <c r="H99" s="33">
        <f>+H95-H97</f>
        <v>14267.550676296923</v>
      </c>
      <c r="I99" s="15"/>
      <c r="J99" s="32">
        <f>IF(H$12=0,0,H99/H$12)</f>
        <v>0.10291003870642107</v>
      </c>
      <c r="K99" s="16"/>
      <c r="L99" s="33">
        <f>D99-H99</f>
        <v>-31506.170676296933</v>
      </c>
      <c r="M99" s="16"/>
      <c r="N99" s="32">
        <f>IF(H99=0,0,L99/H99)</f>
        <v>-2.2082396194771543</v>
      </c>
      <c r="O99" s="27"/>
      <c r="P99" s="33">
        <f>+P95-P97</f>
        <v>-369999.18000000011</v>
      </c>
      <c r="Q99" s="15"/>
      <c r="R99" s="32">
        <f>IF(P$12=0,0,P99/P$12)</f>
        <v>-0.83805688153813251</v>
      </c>
      <c r="S99" s="15"/>
      <c r="T99" s="33">
        <f>+T95-T97</f>
        <v>-274259.85626574734</v>
      </c>
      <c r="U99" s="15"/>
      <c r="V99" s="32">
        <f>IF(T$12=0,0,T99/T$12)</f>
        <v>-0.84277439122915365</v>
      </c>
      <c r="W99" s="16"/>
      <c r="X99" s="33">
        <f>P99-T99</f>
        <v>-95739.323734252772</v>
      </c>
      <c r="Y99" s="16"/>
      <c r="Z99" s="32">
        <f>IF(T99=0,0,X99/T99)</f>
        <v>0.34908252719816574</v>
      </c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3" customFormat="1" ht="15" customHeight="1" x14ac:dyDescent="0.3">
      <c r="A102" s="11"/>
      <c r="B102" s="28" t="s">
        <v>297</v>
      </c>
      <c r="C102" s="28"/>
      <c r="D102" s="34">
        <f>SUM(D99:D101)</f>
        <v>-17238.62000000001</v>
      </c>
      <c r="E102" s="15"/>
      <c r="F102" s="30">
        <f>IF(D$12=0,0,D102/D$12)</f>
        <v>-0.14129926054571135</v>
      </c>
      <c r="G102" s="15"/>
      <c r="H102" s="34">
        <f>SUM(H99:H101)</f>
        <v>14267.550676296923</v>
      </c>
      <c r="I102" s="15"/>
      <c r="J102" s="30">
        <f>IF(H$12=0,0,H102/H$12)</f>
        <v>0.10291003870642107</v>
      </c>
      <c r="K102" s="16"/>
      <c r="L102" s="34">
        <f>+D102-H102</f>
        <v>-31506.170676296933</v>
      </c>
      <c r="M102" s="16"/>
      <c r="N102" s="30">
        <f>IF(H102=0,0,L102/H102)</f>
        <v>-2.2082396194771543</v>
      </c>
      <c r="O102" s="27"/>
      <c r="P102" s="34">
        <f>SUM(P99:P101)</f>
        <v>-369999.18000000011</v>
      </c>
      <c r="Q102" s="15"/>
      <c r="R102" s="30">
        <f>IF(P$12=0,0,P102/P$12)</f>
        <v>-0.83805688153813251</v>
      </c>
      <c r="S102" s="15"/>
      <c r="T102" s="34">
        <f>SUM(T99:T101)</f>
        <v>-274259.85626574734</v>
      </c>
      <c r="U102" s="15"/>
      <c r="V102" s="30">
        <f>IF(T$12=0,0,T102/T$12)</f>
        <v>-0.84277439122915365</v>
      </c>
      <c r="W102" s="16"/>
      <c r="X102" s="34">
        <f>+P102-T102</f>
        <v>-95739.323734252772</v>
      </c>
      <c r="Y102" s="16"/>
      <c r="Z102" s="30">
        <f>IF(T102=0,0,X102/T102)</f>
        <v>0.34908252719816574</v>
      </c>
    </row>
    <row r="103" spans="1:26" ht="15" customHeight="1" x14ac:dyDescent="0.3">
      <c r="A103" s="10"/>
      <c r="C103" s="10"/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0"/>
      <c r="B104" s="57">
        <v>44634.883430555557</v>
      </c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A105" s="10"/>
      <c r="B105" s="56" t="s">
        <v>298</v>
      </c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  <row r="106" spans="1:26" ht="15" customHeight="1" x14ac:dyDescent="0.3">
      <c r="A106" s="10"/>
      <c r="B106" s="54"/>
      <c r="D106" s="19"/>
      <c r="E106" s="19"/>
      <c r="G106" s="19"/>
      <c r="H106" s="19"/>
      <c r="I106" s="19"/>
      <c r="J106" s="41"/>
      <c r="K106" s="19"/>
      <c r="L106" s="19"/>
      <c r="M106" s="19"/>
      <c r="P106" s="19"/>
      <c r="Q106" s="19"/>
      <c r="R106" s="41"/>
      <c r="S106" s="19"/>
      <c r="T106" s="19"/>
      <c r="U106" s="19"/>
      <c r="V106" s="41"/>
      <c r="W106" s="19"/>
      <c r="X106" s="19"/>
    </row>
    <row r="107" spans="1:26" ht="15" customHeight="1" x14ac:dyDescent="0.3">
      <c r="D107" s="19"/>
      <c r="E107" s="19"/>
      <c r="G107" s="19"/>
      <c r="H107" s="19"/>
      <c r="I107" s="19"/>
      <c r="J107" s="41"/>
      <c r="K107" s="19"/>
      <c r="L107" s="19"/>
      <c r="M107" s="19"/>
      <c r="P107" s="19"/>
      <c r="Q107" s="19"/>
      <c r="R107" s="41"/>
      <c r="S107" s="19"/>
      <c r="T107" s="19"/>
      <c r="U107" s="19"/>
      <c r="V107" s="41"/>
      <c r="W107" s="19"/>
      <c r="X107" s="19"/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41D38-72FC-651F-3AD2-0A25F13651F3}">
  <sheetPr>
    <tabColor rgb="FF92D050"/>
    <outlinePr summaryBelow="0" summaryRight="0"/>
  </sheetPr>
  <dimension ref="A2:Z10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","418"," - ","Nugget")</f>
        <v>Department 418 - Nugget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0</v>
      </c>
      <c r="E12" s="5"/>
      <c r="F12" s="13"/>
      <c r="G12" s="5"/>
      <c r="H12" s="5">
        <f>SUM(OSRRefH13x_0)</f>
        <v>168573</v>
      </c>
      <c r="I12" s="5"/>
      <c r="J12" s="13"/>
      <c r="K12" s="5"/>
      <c r="L12" s="5">
        <f>+D12-H12</f>
        <v>-168573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465496</v>
      </c>
      <c r="U12" s="5"/>
      <c r="V12" s="13"/>
      <c r="W12" s="5"/>
      <c r="X12" s="5">
        <f>+P12-T12</f>
        <v>-465496</v>
      </c>
      <c r="Y12" s="5"/>
      <c r="Z12" s="13">
        <f>IF(T12=0,0,X12/T12)</f>
        <v>-1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108393</v>
      </c>
      <c r="I13" s="3"/>
      <c r="J13" s="20"/>
      <c r="K13" s="3"/>
      <c r="L13" s="3">
        <f>+D13-H13</f>
        <v>-108393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236049</v>
      </c>
      <c r="U13" s="3"/>
      <c r="V13" s="20"/>
      <c r="W13" s="3"/>
      <c r="X13" s="3">
        <f>+P13-T13</f>
        <v>-236049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60180</v>
      </c>
      <c r="I14" s="3"/>
      <c r="J14" s="20"/>
      <c r="K14" s="3"/>
      <c r="L14" s="3">
        <f>+D14-H14</f>
        <v>-60180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229447</v>
      </c>
      <c r="U14" s="3"/>
      <c r="V14" s="20"/>
      <c r="W14" s="3"/>
      <c r="X14" s="3">
        <f>+P14-T14</f>
        <v>-229447</v>
      </c>
      <c r="Y14" s="3"/>
      <c r="Z14" s="20">
        <f>IF(T14=0,0,X14/T14)</f>
        <v>-1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7" t="s">
        <v>288</v>
      </c>
      <c r="C16" s="11"/>
      <c r="D16" s="5">
        <f>SUM(OSRRefD16x_0)</f>
        <v>0</v>
      </c>
      <c r="E16" s="5"/>
      <c r="F16" s="13">
        <f>IF(D$12=0,0,D16/D$12)</f>
        <v>0</v>
      </c>
      <c r="G16" s="5"/>
      <c r="H16" s="5">
        <f>SUM(OSRRefH16x_0)</f>
        <v>57315</v>
      </c>
      <c r="I16" s="5"/>
      <c r="J16" s="13">
        <f>IF(H$12=0,0,H16/H$12)</f>
        <v>0.34000106778665623</v>
      </c>
      <c r="K16" s="5"/>
      <c r="L16" s="5">
        <f>+D16-H16</f>
        <v>-57315</v>
      </c>
      <c r="M16" s="5"/>
      <c r="N16" s="13">
        <f>IF(H16=0,0,L16/H16)</f>
        <v>-1</v>
      </c>
      <c r="O16" s="11"/>
      <c r="P16" s="5">
        <f>SUM(OSRRefP16x_0)</f>
        <v>1349.42</v>
      </c>
      <c r="Q16" s="5"/>
      <c r="R16" s="13">
        <f>IF(P$12=0,0,P16/P$12)</f>
        <v>0</v>
      </c>
      <c r="S16" s="5"/>
      <c r="T16" s="5">
        <f>SUM(OSRRefT16x_0)</f>
        <v>158142</v>
      </c>
      <c r="U16" s="5"/>
      <c r="V16" s="13">
        <f>IF(T$12=0,0,T16/T$12)</f>
        <v>0.33972794610480006</v>
      </c>
      <c r="W16" s="5"/>
      <c r="X16" s="5">
        <f>+P16-T16</f>
        <v>-156792.57999999999</v>
      </c>
      <c r="Y16" s="5"/>
      <c r="Z16" s="13">
        <f>IF(T16=0,0,X16/T16)</f>
        <v>-0.99146703595502772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57315</v>
      </c>
      <c r="I17" s="3"/>
      <c r="J17" s="20">
        <f>IF(H$12=0,0,H17/H$12)</f>
        <v>0.34000106778665623</v>
      </c>
      <c r="K17" s="3"/>
      <c r="L17" s="3">
        <f>+D17-H17</f>
        <v>-57315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158142</v>
      </c>
      <c r="U17" s="3"/>
      <c r="V17" s="20">
        <f>IF(T$12=0,0,T17/T$12)</f>
        <v>0.33972794610480006</v>
      </c>
      <c r="W17" s="3"/>
      <c r="X17" s="3">
        <f>+P17-T17</f>
        <v>-158142</v>
      </c>
      <c r="Y17" s="3"/>
      <c r="Z17" s="20">
        <f>IF(T17=0,0,X17/T17)</f>
        <v>-1</v>
      </c>
    </row>
    <row r="18" spans="1:26" s="70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/>
      <c r="E18" s="3"/>
      <c r="F18" s="20">
        <f>IF(D$12=0,0,D18/D$12)</f>
        <v>0</v>
      </c>
      <c r="G18" s="3"/>
      <c r="H18" s="3"/>
      <c r="I18" s="3"/>
      <c r="J18" s="20">
        <f>IF(H$12=0,0,H18/H$12)</f>
        <v>0</v>
      </c>
      <c r="K18" s="3"/>
      <c r="L18" s="3">
        <f>+D18-H18</f>
        <v>0</v>
      </c>
      <c r="M18" s="3"/>
      <c r="N18" s="20">
        <f>IF(H18=0,0,L18/H18)</f>
        <v>0</v>
      </c>
      <c r="O18" s="12"/>
      <c r="P18" s="3">
        <v>1349.42</v>
      </c>
      <c r="Q18" s="3"/>
      <c r="R18" s="20">
        <f>IF(P$12=0,0,P18/P$12)</f>
        <v>0</v>
      </c>
      <c r="S18" s="3"/>
      <c r="T18" s="3"/>
      <c r="U18" s="3"/>
      <c r="V18" s="20">
        <f>IF(T$12=0,0,T18/T$12)</f>
        <v>0</v>
      </c>
      <c r="W18" s="3"/>
      <c r="X18" s="3">
        <f>+P18-T18</f>
        <v>1349.42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3">
      <c r="A20" s="11"/>
      <c r="B20" s="28" t="s">
        <v>289</v>
      </c>
      <c r="C20" s="28"/>
      <c r="D20" s="21">
        <f>D12-D16</f>
        <v>0</v>
      </c>
      <c r="E20" s="15"/>
      <c r="F20" s="22">
        <f>IF(D$12=0,0,D20/D$12)</f>
        <v>0</v>
      </c>
      <c r="G20" s="15"/>
      <c r="H20" s="21">
        <f>H12-H16</f>
        <v>111258</v>
      </c>
      <c r="I20" s="15"/>
      <c r="J20" s="22">
        <f>IF(H$12=0,0,H20/H$12)</f>
        <v>0.65999893221334383</v>
      </c>
      <c r="K20" s="16"/>
      <c r="L20" s="21">
        <f>+D20-H20</f>
        <v>-111258</v>
      </c>
      <c r="M20" s="16"/>
      <c r="N20" s="22">
        <f>IF(H20=0,0,L20/H20)</f>
        <v>-1</v>
      </c>
      <c r="O20" s="27"/>
      <c r="P20" s="21">
        <f>P12-P16</f>
        <v>-1349.42</v>
      </c>
      <c r="Q20" s="15"/>
      <c r="R20" s="22">
        <f>IF(P$12=0,0,P20/P$12)</f>
        <v>0</v>
      </c>
      <c r="S20" s="15"/>
      <c r="T20" s="21">
        <f>T12-T16</f>
        <v>307354</v>
      </c>
      <c r="U20" s="15"/>
      <c r="V20" s="22">
        <f>IF(T$12=0,0,T20/T$12)</f>
        <v>0.66027205389519994</v>
      </c>
      <c r="W20" s="16"/>
      <c r="X20" s="21">
        <f>+P20-T20</f>
        <v>-308703.42</v>
      </c>
      <c r="Y20" s="16"/>
      <c r="Z20" s="22">
        <f>IF(T20=0,0,X20/T20)</f>
        <v>-1.0043904422912993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3">
      <c r="A22" s="11"/>
      <c r="B22" s="27" t="s">
        <v>290</v>
      </c>
      <c r="C22" s="11"/>
      <c r="D22" s="23" cm="1">
        <f t="array" ref="D22">SUM(OSRRefD22x_0)</f>
        <v>17149.019999999997</v>
      </c>
      <c r="E22" s="23"/>
      <c r="F22" s="29">
        <f t="shared" ref="F22:F53" si="0">IF(D$12=0,0,D22/D$12)</f>
        <v>0</v>
      </c>
      <c r="G22" s="23"/>
      <c r="H22" s="23" cm="1">
        <f t="array" ref="H22">SUM(OSRRefH22x_0)</f>
        <v>63997.00654618461</v>
      </c>
      <c r="I22" s="23"/>
      <c r="J22" s="29">
        <f t="shared" ref="J22:J53" si="1">IF(H$12=0,0,H22/H$12)</f>
        <v>0.37963972015794112</v>
      </c>
      <c r="K22" s="5"/>
      <c r="L22" s="23">
        <f t="shared" ref="L22:L53" si="2">+D22-H22</f>
        <v>-46847.986546184613</v>
      </c>
      <c r="M22" s="5"/>
      <c r="N22" s="29">
        <f t="shared" ref="N22:N53" si="3">IF(H22=0,0,L22/H22)</f>
        <v>-0.73203402900377701</v>
      </c>
      <c r="O22" s="11"/>
      <c r="P22" s="23" cm="1">
        <f t="array" ref="P22">SUM(OSRRefP22x_0)</f>
        <v>137293.17000000004</v>
      </c>
      <c r="Q22" s="23"/>
      <c r="R22" s="29">
        <f t="shared" ref="R22:R53" si="4">IF(P$12=0,0,P22/P$12)</f>
        <v>0</v>
      </c>
      <c r="S22" s="23"/>
      <c r="T22" s="23" cm="1">
        <f t="array" ref="T22">SUM(OSRRefT22x_0)</f>
        <v>343924.4035091261</v>
      </c>
      <c r="U22" s="23"/>
      <c r="V22" s="29">
        <f t="shared" ref="V22:V53" si="5">IF(T$12=0,0,T22/T$12)</f>
        <v>0.73883428323578737</v>
      </c>
      <c r="W22" s="5"/>
      <c r="X22" s="23">
        <f t="shared" ref="X22:X53" si="6">+P22-T22</f>
        <v>-206631.23350912606</v>
      </c>
      <c r="Y22" s="5"/>
      <c r="Z22" s="29">
        <f t="shared" ref="Z22:Z53" si="7">IF(T22=0,0,X22/T22)</f>
        <v>-0.60080422151155399</v>
      </c>
    </row>
    <row r="23" spans="1:26" s="69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2392.87</v>
      </c>
      <c r="E23" s="2"/>
      <c r="F23" s="6">
        <f t="shared" si="0"/>
        <v>0</v>
      </c>
      <c r="G23" s="2"/>
      <c r="H23" s="2">
        <f>SUM(OSRRefH22_0x_0)</f>
        <v>11836.577084646149</v>
      </c>
      <c r="I23" s="2"/>
      <c r="J23" s="6">
        <f t="shared" si="1"/>
        <v>7.0216328146536805E-2</v>
      </c>
      <c r="K23" s="2"/>
      <c r="L23" s="2">
        <f t="shared" si="2"/>
        <v>-9443.7070846461502</v>
      </c>
      <c r="M23" s="2"/>
      <c r="N23" s="6">
        <f t="shared" si="3"/>
        <v>-0.79784104957978796</v>
      </c>
      <c r="O23" s="14"/>
      <c r="P23" s="2">
        <f>SUM(OSRRefP22_0x_0)</f>
        <v>21725.640000000003</v>
      </c>
      <c r="Q23" s="2"/>
      <c r="R23" s="6">
        <f t="shared" si="4"/>
        <v>0</v>
      </c>
      <c r="S23" s="2"/>
      <c r="T23" s="2">
        <f>SUM(OSRRefT22_0x_0)</f>
        <v>71045.155170664599</v>
      </c>
      <c r="U23" s="2"/>
      <c r="V23" s="6">
        <f t="shared" si="5"/>
        <v>0.1526224826221162</v>
      </c>
      <c r="W23" s="2"/>
      <c r="X23" s="2">
        <f t="shared" si="6"/>
        <v>-49319.515170664599</v>
      </c>
      <c r="Y23" s="2"/>
      <c r="Z23" s="6">
        <f t="shared" si="7"/>
        <v>-0.694199555932974</v>
      </c>
    </row>
    <row r="24" spans="1:26" s="70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8">
        <v>429.42</v>
      </c>
      <c r="E24" s="3"/>
      <c r="F24" s="7">
        <f t="shared" si="0"/>
        <v>0</v>
      </c>
      <c r="G24" s="3"/>
      <c r="H24" s="8">
        <v>1189.64519233846</v>
      </c>
      <c r="I24" s="3"/>
      <c r="J24" s="7">
        <f t="shared" si="1"/>
        <v>7.0571514556806844E-3</v>
      </c>
      <c r="K24" s="3"/>
      <c r="L24" s="8">
        <f t="shared" si="2"/>
        <v>-760.22519233845992</v>
      </c>
      <c r="M24" s="3"/>
      <c r="N24" s="7">
        <f t="shared" si="3"/>
        <v>-0.63903523271850626</v>
      </c>
      <c r="O24" s="12"/>
      <c r="P24" s="8">
        <v>3200.74</v>
      </c>
      <c r="Q24" s="3"/>
      <c r="R24" s="7">
        <f t="shared" si="4"/>
        <v>0</v>
      </c>
      <c r="S24" s="3"/>
      <c r="T24" s="8">
        <v>6713.2050537415398</v>
      </c>
      <c r="U24" s="3"/>
      <c r="V24" s="7">
        <f t="shared" si="5"/>
        <v>1.4421617057378667E-2</v>
      </c>
      <c r="W24" s="3"/>
      <c r="X24" s="8">
        <f t="shared" si="6"/>
        <v>-3512.46505374154</v>
      </c>
      <c r="Y24" s="3"/>
      <c r="Z24" s="7">
        <f t="shared" si="7"/>
        <v>-0.52321730464406146</v>
      </c>
    </row>
    <row r="25" spans="1:26" s="70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8">
        <v>202.09</v>
      </c>
      <c r="E25" s="3"/>
      <c r="F25" s="7">
        <f t="shared" si="0"/>
        <v>0</v>
      </c>
      <c r="G25" s="3"/>
      <c r="H25" s="8">
        <v>1241.4842943076901</v>
      </c>
      <c r="I25" s="3"/>
      <c r="J25" s="7">
        <f t="shared" si="1"/>
        <v>7.364668685422281E-3</v>
      </c>
      <c r="K25" s="3"/>
      <c r="L25" s="8">
        <f t="shared" si="2"/>
        <v>-1039.3942943076902</v>
      </c>
      <c r="M25" s="3"/>
      <c r="N25" s="7">
        <f t="shared" si="3"/>
        <v>-0.83721904423068449</v>
      </c>
      <c r="O25" s="12"/>
      <c r="P25" s="8">
        <v>1403.95</v>
      </c>
      <c r="Q25" s="3"/>
      <c r="R25" s="7">
        <f t="shared" si="4"/>
        <v>0</v>
      </c>
      <c r="S25" s="3"/>
      <c r="T25" s="8">
        <v>5393.86108609231</v>
      </c>
      <c r="U25" s="3"/>
      <c r="V25" s="7">
        <f t="shared" si="5"/>
        <v>1.1587341429555377E-2</v>
      </c>
      <c r="W25" s="3"/>
      <c r="X25" s="8">
        <f t="shared" si="6"/>
        <v>-3989.9110860923101</v>
      </c>
      <c r="Y25" s="3"/>
      <c r="Z25" s="7">
        <f t="shared" si="7"/>
        <v>-0.73971335605583433</v>
      </c>
    </row>
    <row r="26" spans="1:26" s="70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8">
        <v>652.17999999999995</v>
      </c>
      <c r="E26" s="3"/>
      <c r="F26" s="7">
        <f t="shared" si="0"/>
        <v>0</v>
      </c>
      <c r="G26" s="3"/>
      <c r="H26" s="8">
        <v>6307.5384615384601</v>
      </c>
      <c r="I26" s="3"/>
      <c r="J26" s="7">
        <f t="shared" si="1"/>
        <v>3.741725223813102E-2</v>
      </c>
      <c r="K26" s="3"/>
      <c r="L26" s="8">
        <f t="shared" si="2"/>
        <v>-5655.3584615384598</v>
      </c>
      <c r="M26" s="3"/>
      <c r="N26" s="7">
        <f t="shared" si="3"/>
        <v>-0.89660308788019216</v>
      </c>
      <c r="O26" s="12"/>
      <c r="P26" s="8">
        <v>11401.62</v>
      </c>
      <c r="Q26" s="3"/>
      <c r="R26" s="7">
        <f t="shared" si="4"/>
        <v>0</v>
      </c>
      <c r="S26" s="3"/>
      <c r="T26" s="8">
        <v>40527.642307692302</v>
      </c>
      <c r="U26" s="3"/>
      <c r="V26" s="7">
        <f t="shared" si="5"/>
        <v>8.7063352440605937E-2</v>
      </c>
      <c r="W26" s="3"/>
      <c r="X26" s="8">
        <f t="shared" si="6"/>
        <v>-29126.022307692299</v>
      </c>
      <c r="Y26" s="3"/>
      <c r="Z26" s="7">
        <f t="shared" si="7"/>
        <v>-0.71867053322675201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8">
        <v>14.6</v>
      </c>
      <c r="E27" s="3"/>
      <c r="F27" s="7">
        <f t="shared" si="0"/>
        <v>0</v>
      </c>
      <c r="G27" s="3"/>
      <c r="H27" s="8">
        <v>68.789367230769201</v>
      </c>
      <c r="I27" s="3"/>
      <c r="J27" s="7">
        <f t="shared" si="1"/>
        <v>4.0806871344028524E-4</v>
      </c>
      <c r="K27" s="3"/>
      <c r="L27" s="8">
        <f t="shared" si="2"/>
        <v>-54.1893672307692</v>
      </c>
      <c r="M27" s="3"/>
      <c r="N27" s="7">
        <f t="shared" si="3"/>
        <v>-0.78775789649262129</v>
      </c>
      <c r="O27" s="12"/>
      <c r="P27" s="8">
        <v>102.77</v>
      </c>
      <c r="Q27" s="3"/>
      <c r="R27" s="7">
        <f t="shared" si="4"/>
        <v>0</v>
      </c>
      <c r="S27" s="3"/>
      <c r="T27" s="8">
        <v>298.86829236923103</v>
      </c>
      <c r="U27" s="3"/>
      <c r="V27" s="7">
        <f t="shared" si="5"/>
        <v>6.4204266496217159E-4</v>
      </c>
      <c r="W27" s="3"/>
      <c r="X27" s="8">
        <f t="shared" si="6"/>
        <v>-196.09829236923105</v>
      </c>
      <c r="Y27" s="3"/>
      <c r="Z27" s="7">
        <f t="shared" si="7"/>
        <v>-0.65613615554427973</v>
      </c>
    </row>
    <row r="28" spans="1:26" s="70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8">
        <v>399.36</v>
      </c>
      <c r="E28" s="3"/>
      <c r="F28" s="7">
        <f t="shared" si="0"/>
        <v>0</v>
      </c>
      <c r="G28" s="3"/>
      <c r="H28" s="8">
        <v>424.70769230769201</v>
      </c>
      <c r="I28" s="3"/>
      <c r="J28" s="7">
        <f t="shared" si="1"/>
        <v>2.5194289257929325E-3</v>
      </c>
      <c r="K28" s="3"/>
      <c r="L28" s="8">
        <f t="shared" si="2"/>
        <v>-25.347692307692</v>
      </c>
      <c r="M28" s="3"/>
      <c r="N28" s="7">
        <f t="shared" si="3"/>
        <v>-5.9682677678764805E-2</v>
      </c>
      <c r="O28" s="12"/>
      <c r="P28" s="8">
        <v>1303.1500000000001</v>
      </c>
      <c r="Q28" s="3"/>
      <c r="R28" s="7">
        <f t="shared" si="4"/>
        <v>0</v>
      </c>
      <c r="S28" s="3"/>
      <c r="T28" s="8">
        <v>955.59230769230703</v>
      </c>
      <c r="U28" s="3"/>
      <c r="V28" s="7">
        <f t="shared" si="5"/>
        <v>2.0528475168257237E-3</v>
      </c>
      <c r="W28" s="3"/>
      <c r="X28" s="8">
        <f t="shared" si="6"/>
        <v>347.55769230769306</v>
      </c>
      <c r="Y28" s="3"/>
      <c r="Z28" s="7">
        <f t="shared" si="7"/>
        <v>0.36370917755399496</v>
      </c>
    </row>
    <row r="29" spans="1:26" s="70" customFormat="1" ht="15" hidden="1" customHeight="1" outlineLevel="2" x14ac:dyDescent="0.3">
      <c r="A29" s="26"/>
      <c r="B29" s="12" t="str">
        <f>CONCATENATE("          ","6116"," - ","EDUCATIONAL BENEFITS")</f>
        <v xml:space="preserve">          6116 - EDUCATIONAL BENEFITS</v>
      </c>
      <c r="C29" s="12"/>
      <c r="D29" s="8"/>
      <c r="E29" s="3"/>
      <c r="F29" s="7">
        <f t="shared" si="0"/>
        <v>0</v>
      </c>
      <c r="G29" s="3"/>
      <c r="H29" s="8">
        <v>0</v>
      </c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0</v>
      </c>
      <c r="U29" s="3"/>
      <c r="V29" s="7">
        <f t="shared" si="5"/>
        <v>0</v>
      </c>
      <c r="W29" s="3"/>
      <c r="X29" s="8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","6118"," - ","VACATION")</f>
        <v xml:space="preserve">          6118 - VACATION</v>
      </c>
      <c r="C30" s="12"/>
      <c r="D30" s="8">
        <v>213.24</v>
      </c>
      <c r="E30" s="3"/>
      <c r="F30" s="7">
        <f t="shared" si="0"/>
        <v>0</v>
      </c>
      <c r="G30" s="3"/>
      <c r="H30" s="8">
        <v>422.56024615384598</v>
      </c>
      <c r="I30" s="3"/>
      <c r="J30" s="7">
        <f t="shared" si="1"/>
        <v>2.5066899571927056E-3</v>
      </c>
      <c r="K30" s="3"/>
      <c r="L30" s="8">
        <f t="shared" si="2"/>
        <v>-209.32024615384597</v>
      </c>
      <c r="M30" s="3"/>
      <c r="N30" s="7">
        <f t="shared" si="3"/>
        <v>-0.49536189941927605</v>
      </c>
      <c r="O30" s="12"/>
      <c r="P30" s="8">
        <v>1457.66</v>
      </c>
      <c r="Q30" s="3"/>
      <c r="R30" s="7">
        <f t="shared" si="4"/>
        <v>0</v>
      </c>
      <c r="S30" s="3"/>
      <c r="T30" s="8">
        <v>2349.6586338461502</v>
      </c>
      <c r="U30" s="3"/>
      <c r="V30" s="7">
        <f t="shared" si="5"/>
        <v>5.0476451652563077E-3</v>
      </c>
      <c r="W30" s="3"/>
      <c r="X30" s="8">
        <f t="shared" si="6"/>
        <v>-891.99863384615014</v>
      </c>
      <c r="Y30" s="3"/>
      <c r="Z30" s="7">
        <f t="shared" si="7"/>
        <v>-0.37962903248887686</v>
      </c>
    </row>
    <row r="31" spans="1:26" s="70" customFormat="1" ht="15" hidden="1" customHeight="1" outlineLevel="2" x14ac:dyDescent="0.3">
      <c r="A31" s="26"/>
      <c r="B31" s="12" t="str">
        <f>CONCATENATE("          ","6119"," - ","SICK LEAVE")</f>
        <v xml:space="preserve">          6119 - SICK LEAVE</v>
      </c>
      <c r="C31" s="12"/>
      <c r="D31" s="8">
        <v>255.46</v>
      </c>
      <c r="E31" s="3"/>
      <c r="F31" s="7">
        <f t="shared" si="0"/>
        <v>0</v>
      </c>
      <c r="G31" s="3"/>
      <c r="H31" s="8">
        <v>841.85183076923101</v>
      </c>
      <c r="I31" s="3"/>
      <c r="J31" s="7">
        <f t="shared" si="1"/>
        <v>4.9939897300826999E-3</v>
      </c>
      <c r="K31" s="3"/>
      <c r="L31" s="8">
        <f t="shared" si="2"/>
        <v>-586.39183076923098</v>
      </c>
      <c r="M31" s="3"/>
      <c r="N31" s="7">
        <f t="shared" si="3"/>
        <v>-0.69654992640857383</v>
      </c>
      <c r="O31" s="12"/>
      <c r="P31" s="8">
        <v>1567.57</v>
      </c>
      <c r="Q31" s="3"/>
      <c r="R31" s="7">
        <f t="shared" si="4"/>
        <v>0</v>
      </c>
      <c r="S31" s="3"/>
      <c r="T31" s="8">
        <v>3486.32748923077</v>
      </c>
      <c r="U31" s="3"/>
      <c r="V31" s="7">
        <f t="shared" si="5"/>
        <v>7.4894896824693876E-3</v>
      </c>
      <c r="W31" s="3"/>
      <c r="X31" s="8">
        <f t="shared" si="6"/>
        <v>-1918.75748923077</v>
      </c>
      <c r="Y31" s="3"/>
      <c r="Z31" s="7">
        <f t="shared" si="7"/>
        <v>-0.55036639419497801</v>
      </c>
    </row>
    <row r="32" spans="1:26" s="70" customFormat="1" ht="15" hidden="1" customHeight="1" outlineLevel="2" x14ac:dyDescent="0.3">
      <c r="A32" s="26"/>
      <c r="B32" s="12" t="str">
        <f>CONCATENATE("          ","6156"," - ","EMPLOYEE MEALS")</f>
        <v xml:space="preserve">          6156 - EMPLOYEE MEALS</v>
      </c>
      <c r="C32" s="12"/>
      <c r="D32" s="8">
        <v>226.52</v>
      </c>
      <c r="E32" s="3"/>
      <c r="F32" s="7">
        <f t="shared" si="0"/>
        <v>0</v>
      </c>
      <c r="G32" s="3"/>
      <c r="H32" s="8">
        <v>1340</v>
      </c>
      <c r="I32" s="3"/>
      <c r="J32" s="7">
        <f t="shared" si="1"/>
        <v>7.9490784407941963E-3</v>
      </c>
      <c r="K32" s="3"/>
      <c r="L32" s="8">
        <f t="shared" si="2"/>
        <v>-1113.48</v>
      </c>
      <c r="M32" s="3"/>
      <c r="N32" s="7">
        <f t="shared" si="3"/>
        <v>-0.83095522388059706</v>
      </c>
      <c r="O32" s="12"/>
      <c r="P32" s="8">
        <v>1288.18</v>
      </c>
      <c r="Q32" s="3"/>
      <c r="R32" s="7">
        <f t="shared" si="4"/>
        <v>0</v>
      </c>
      <c r="S32" s="3"/>
      <c r="T32" s="8">
        <v>11320</v>
      </c>
      <c r="U32" s="3"/>
      <c r="V32" s="7">
        <f t="shared" si="5"/>
        <v>2.4318146665062643E-2</v>
      </c>
      <c r="W32" s="3"/>
      <c r="X32" s="8">
        <f t="shared" si="6"/>
        <v>-10031.82</v>
      </c>
      <c r="Y32" s="3"/>
      <c r="Z32" s="7">
        <f t="shared" si="7"/>
        <v>-0.88620318021201416</v>
      </c>
    </row>
    <row r="33" spans="1:26" s="69" customFormat="1" ht="15" customHeight="1" outlineLevel="1" collapsed="1" x14ac:dyDescent="0.3">
      <c r="A33" s="25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5261.56</v>
      </c>
      <c r="E33" s="2"/>
      <c r="F33" s="6">
        <f t="shared" si="0"/>
        <v>0</v>
      </c>
      <c r="G33" s="2"/>
      <c r="H33" s="2">
        <f>SUM(OSRRefH22_1x_0)</f>
        <v>31492.429461538461</v>
      </c>
      <c r="I33" s="2"/>
      <c r="J33" s="6">
        <f t="shared" si="1"/>
        <v>0.18681775528428907</v>
      </c>
      <c r="K33" s="2"/>
      <c r="L33" s="2">
        <f t="shared" si="2"/>
        <v>-26230.869461538459</v>
      </c>
      <c r="M33" s="2"/>
      <c r="N33" s="6">
        <f t="shared" si="3"/>
        <v>-0.83292619559802727</v>
      </c>
      <c r="O33" s="14"/>
      <c r="P33" s="2">
        <f>SUM(OSRRefP22_1x_0)</f>
        <v>41170.979999999996</v>
      </c>
      <c r="Q33" s="2"/>
      <c r="R33" s="6">
        <f t="shared" si="4"/>
        <v>0</v>
      </c>
      <c r="S33" s="2"/>
      <c r="T33" s="2">
        <f>SUM(OSRRefT22_1x_0)</f>
        <v>136482.2483384615</v>
      </c>
      <c r="U33" s="2"/>
      <c r="V33" s="6">
        <f t="shared" si="5"/>
        <v>0.29319746751521281</v>
      </c>
      <c r="W33" s="2"/>
      <c r="X33" s="2">
        <f t="shared" si="6"/>
        <v>-95311.268338461508</v>
      </c>
      <c r="Y33" s="2"/>
      <c r="Z33" s="6">
        <f t="shared" si="7"/>
        <v>-0.69834186862235492</v>
      </c>
    </row>
    <row r="34" spans="1:26" s="70" customFormat="1" ht="15" hidden="1" customHeight="1" outlineLevel="2" x14ac:dyDescent="0.3">
      <c r="A34" s="26"/>
      <c r="B34" s="12" t="str">
        <f>CONCATENATE("          ","6001"," - ","ADMINISTRATIVE SALARIES")</f>
        <v xml:space="preserve">          6001 - ADMINISTRATIVE SALARIES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8">
        <v>5261.56</v>
      </c>
      <c r="E35" s="3"/>
      <c r="F35" s="7">
        <f t="shared" si="0"/>
        <v>0</v>
      </c>
      <c r="G35" s="3"/>
      <c r="H35" s="8">
        <v>4691.5384615384601</v>
      </c>
      <c r="I35" s="3"/>
      <c r="J35" s="7">
        <f t="shared" si="1"/>
        <v>2.7830900924456822E-2</v>
      </c>
      <c r="K35" s="3"/>
      <c r="L35" s="8">
        <f t="shared" si="2"/>
        <v>570.02153846154033</v>
      </c>
      <c r="M35" s="3"/>
      <c r="N35" s="7">
        <f t="shared" si="3"/>
        <v>0.12149991801934787</v>
      </c>
      <c r="O35" s="12"/>
      <c r="P35" s="8">
        <v>18554.28</v>
      </c>
      <c r="Q35" s="3"/>
      <c r="R35" s="7">
        <f t="shared" si="4"/>
        <v>0</v>
      </c>
      <c r="S35" s="3"/>
      <c r="T35" s="8">
        <v>10555.961538461501</v>
      </c>
      <c r="U35" s="3"/>
      <c r="V35" s="7">
        <f t="shared" si="5"/>
        <v>2.2676803964935252E-2</v>
      </c>
      <c r="W35" s="3"/>
      <c r="X35" s="8">
        <f t="shared" si="6"/>
        <v>7998.318461538498</v>
      </c>
      <c r="Y35" s="3"/>
      <c r="Z35" s="7">
        <f t="shared" si="7"/>
        <v>0.75770629064874639</v>
      </c>
    </row>
    <row r="36" spans="1:26" s="70" customFormat="1" ht="15" hidden="1" customHeight="1" outlineLevel="2" x14ac:dyDescent="0.3">
      <c r="A36" s="26"/>
      <c r="B36" s="12" t="str">
        <f>CONCATENATE("          ","6003"," - ","STAFF HOURLY-9 MONTH")</f>
        <v xml:space="preserve">          6003 - STAFF HOURLY-9 MONTH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","6004"," - ","STAFF HOURLY")</f>
        <v xml:space="preserve">          6004 - STAFF HOURLY</v>
      </c>
      <c r="C37" s="12"/>
      <c r="D37" s="8"/>
      <c r="E37" s="3"/>
      <c r="F37" s="7">
        <f t="shared" si="0"/>
        <v>0</v>
      </c>
      <c r="G37" s="3"/>
      <c r="H37" s="8">
        <v>8689.5360000000001</v>
      </c>
      <c r="I37" s="3"/>
      <c r="J37" s="7">
        <f t="shared" si="1"/>
        <v>5.1547614386645547E-2</v>
      </c>
      <c r="K37" s="3"/>
      <c r="L37" s="8">
        <f t="shared" si="2"/>
        <v>-8689.5360000000001</v>
      </c>
      <c r="M37" s="3"/>
      <c r="N37" s="7">
        <f t="shared" si="3"/>
        <v>-1</v>
      </c>
      <c r="O37" s="12"/>
      <c r="P37" s="8">
        <v>14370.65</v>
      </c>
      <c r="Q37" s="3"/>
      <c r="R37" s="7">
        <f t="shared" si="4"/>
        <v>0</v>
      </c>
      <c r="S37" s="3"/>
      <c r="T37" s="8">
        <v>63849.895199999999</v>
      </c>
      <c r="U37" s="3"/>
      <c r="V37" s="7">
        <f t="shared" si="5"/>
        <v>0.137165292934848</v>
      </c>
      <c r="W37" s="3"/>
      <c r="X37" s="8">
        <f t="shared" si="6"/>
        <v>-49479.245199999998</v>
      </c>
      <c r="Y37" s="3"/>
      <c r="Z37" s="7">
        <f t="shared" si="7"/>
        <v>-0.77493071907187716</v>
      </c>
    </row>
    <row r="38" spans="1:26" s="70" customFormat="1" ht="15" hidden="1" customHeight="1" outlineLevel="2" x14ac:dyDescent="0.3">
      <c r="A38" s="26"/>
      <c r="B38" s="12" t="str">
        <f>CONCATENATE("          ","6005"," - ","TEMPORARY WAGES-HOURLY")</f>
        <v xml:space="preserve">          6005 - TEMPORARY WAGES-HOURLY</v>
      </c>
      <c r="C38" s="12"/>
      <c r="D38" s="8"/>
      <c r="E38" s="3"/>
      <c r="F38" s="7">
        <f t="shared" si="0"/>
        <v>0</v>
      </c>
      <c r="G38" s="3"/>
      <c r="H38" s="8">
        <v>5347.2608</v>
      </c>
      <c r="I38" s="3"/>
      <c r="J38" s="7">
        <f t="shared" si="1"/>
        <v>3.1720742942226807E-2</v>
      </c>
      <c r="K38" s="3"/>
      <c r="L38" s="8">
        <f t="shared" si="2"/>
        <v>-5347.2608</v>
      </c>
      <c r="M38" s="3"/>
      <c r="N38" s="7">
        <f t="shared" si="3"/>
        <v>-1</v>
      </c>
      <c r="O38" s="12"/>
      <c r="P38" s="8">
        <v>8246.0499999999993</v>
      </c>
      <c r="Q38" s="3"/>
      <c r="R38" s="7">
        <f t="shared" si="4"/>
        <v>0</v>
      </c>
      <c r="S38" s="3"/>
      <c r="T38" s="8">
        <v>31022.151999999998</v>
      </c>
      <c r="U38" s="3"/>
      <c r="V38" s="7">
        <f t="shared" si="5"/>
        <v>6.6643219275783247E-2</v>
      </c>
      <c r="W38" s="3"/>
      <c r="X38" s="8">
        <f t="shared" si="6"/>
        <v>-22776.101999999999</v>
      </c>
      <c r="Y38" s="3"/>
      <c r="Z38" s="7">
        <f t="shared" si="7"/>
        <v>-0.73418833097072056</v>
      </c>
    </row>
    <row r="39" spans="1:26" s="70" customFormat="1" ht="15" hidden="1" customHeight="1" outlineLevel="2" x14ac:dyDescent="0.3">
      <c r="A39" s="26"/>
      <c r="B39" s="12" t="str">
        <f>CONCATENATE("          ","6006"," - ","TEMPORARY PART TIME")</f>
        <v xml:space="preserve">          6006 - TEMPORARY PART TIME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","6007"," - ","STUDENT HOURLY")</f>
        <v xml:space="preserve">          6007 - STUDENT HOURLY</v>
      </c>
      <c r="C40" s="12"/>
      <c r="D40" s="8"/>
      <c r="E40" s="3"/>
      <c r="F40" s="7">
        <f t="shared" si="0"/>
        <v>0</v>
      </c>
      <c r="G40" s="3"/>
      <c r="H40" s="8">
        <v>1415.6956</v>
      </c>
      <c r="I40" s="3"/>
      <c r="J40" s="7">
        <f t="shared" si="1"/>
        <v>8.3981159497665703E-3</v>
      </c>
      <c r="K40" s="3"/>
      <c r="L40" s="8">
        <f t="shared" si="2"/>
        <v>-1415.6956</v>
      </c>
      <c r="M40" s="3"/>
      <c r="N40" s="7">
        <f t="shared" si="3"/>
        <v>-1</v>
      </c>
      <c r="O40" s="12"/>
      <c r="P40" s="8">
        <v>0</v>
      </c>
      <c r="Q40" s="3"/>
      <c r="R40" s="7">
        <f t="shared" si="4"/>
        <v>0</v>
      </c>
      <c r="S40" s="3"/>
      <c r="T40" s="8">
        <v>9116.0211999999992</v>
      </c>
      <c r="U40" s="3"/>
      <c r="V40" s="7">
        <f t="shared" si="5"/>
        <v>1.9583457645178475E-2</v>
      </c>
      <c r="W40" s="3"/>
      <c r="X40" s="8">
        <f t="shared" si="6"/>
        <v>-9116.0211999999992</v>
      </c>
      <c r="Y40" s="3"/>
      <c r="Z40" s="7">
        <f t="shared" si="7"/>
        <v>-1</v>
      </c>
    </row>
    <row r="41" spans="1:26" s="70" customFormat="1" ht="15" hidden="1" customHeight="1" outlineLevel="2" x14ac:dyDescent="0.3">
      <c r="A41" s="26"/>
      <c r="B41" s="12" t="str">
        <f>CONCATENATE("          ","6008"," - ","STUDENT HOURLY-FICA EXEMPT")</f>
        <v xml:space="preserve">          6008 - STUDENT HOURLY-FICA EXEMPT</v>
      </c>
      <c r="C41" s="12"/>
      <c r="D41" s="8"/>
      <c r="E41" s="3"/>
      <c r="F41" s="7">
        <f t="shared" si="0"/>
        <v>0</v>
      </c>
      <c r="G41" s="3"/>
      <c r="H41" s="8">
        <v>11348.3986</v>
      </c>
      <c r="I41" s="3"/>
      <c r="J41" s="7">
        <f t="shared" si="1"/>
        <v>6.7320381081193315E-2</v>
      </c>
      <c r="K41" s="3"/>
      <c r="L41" s="8">
        <f t="shared" si="2"/>
        <v>-11348.3986</v>
      </c>
      <c r="M41" s="3"/>
      <c r="N41" s="7">
        <f t="shared" si="3"/>
        <v>-1</v>
      </c>
      <c r="O41" s="12"/>
      <c r="P41" s="8"/>
      <c r="Q41" s="3"/>
      <c r="R41" s="7">
        <f t="shared" si="4"/>
        <v>0</v>
      </c>
      <c r="S41" s="3"/>
      <c r="T41" s="8">
        <v>21938.218400000002</v>
      </c>
      <c r="U41" s="3"/>
      <c r="V41" s="7">
        <f t="shared" si="5"/>
        <v>4.7128693694467837E-2</v>
      </c>
      <c r="W41" s="3"/>
      <c r="X41" s="8">
        <f t="shared" si="6"/>
        <v>-21938.218400000002</v>
      </c>
      <c r="Y41" s="3"/>
      <c r="Z41" s="7">
        <f t="shared" si="7"/>
        <v>-1</v>
      </c>
    </row>
    <row r="42" spans="1:26" s="70" customFormat="1" ht="15" hidden="1" customHeight="1" outlineLevel="2" x14ac:dyDescent="0.3">
      <c r="A42" s="26"/>
      <c r="B42" s="12" t="str">
        <f>CONCATENATE("          ","6009"," - ","TEMPORARY-SEASONAL")</f>
        <v xml:space="preserve">          6009 - TEMPORARY-SEASONAL</v>
      </c>
      <c r="C42" s="12"/>
      <c r="D42" s="8"/>
      <c r="E42" s="3"/>
      <c r="F42" s="7">
        <f t="shared" si="0"/>
        <v>0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","6010"," - ","GRATUITY")</f>
        <v xml:space="preserve">          6010 - GRATUITY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0</v>
      </c>
      <c r="E44" s="2"/>
      <c r="F44" s="6">
        <f t="shared" si="0"/>
        <v>0</v>
      </c>
      <c r="G44" s="2"/>
      <c r="H44" s="2">
        <f>SUM(OSRRefH22_2x_0)</f>
        <v>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SUM(OSRRefP22_2x_0)</f>
        <v>263.58</v>
      </c>
      <c r="Q44" s="2"/>
      <c r="R44" s="6">
        <f t="shared" si="4"/>
        <v>0</v>
      </c>
      <c r="S44" s="2"/>
      <c r="T44" s="2">
        <f>SUM(OSRRefT22_2x_0)</f>
        <v>0</v>
      </c>
      <c r="U44" s="2"/>
      <c r="V44" s="6">
        <f t="shared" si="5"/>
        <v>0</v>
      </c>
      <c r="W44" s="2"/>
      <c r="X44" s="2">
        <f t="shared" si="6"/>
        <v>263.58</v>
      </c>
      <c r="Y44" s="2"/>
      <c r="Z44" s="6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","6362"," - ","ADVERTISING EXPENSE")</f>
        <v xml:space="preserve">          6362 - ADVERTISING EXPENSE</v>
      </c>
      <c r="C45" s="12"/>
      <c r="D45" s="8"/>
      <c r="E45" s="3"/>
      <c r="F45" s="7">
        <f t="shared" si="0"/>
        <v>0</v>
      </c>
      <c r="G45" s="3"/>
      <c r="H45" s="8"/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>
        <v>263.58</v>
      </c>
      <c r="Q45" s="3"/>
      <c r="R45" s="7">
        <f t="shared" si="4"/>
        <v>0</v>
      </c>
      <c r="S45" s="3"/>
      <c r="T45" s="8"/>
      <c r="U45" s="3"/>
      <c r="V45" s="7">
        <f t="shared" si="5"/>
        <v>0</v>
      </c>
      <c r="W45" s="3"/>
      <c r="X45" s="8">
        <f t="shared" si="6"/>
        <v>263.58</v>
      </c>
      <c r="Y45" s="3"/>
      <c r="Z45" s="7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SUM(OSRRefD22_3x_0)</f>
        <v>0</v>
      </c>
      <c r="E46" s="2"/>
      <c r="F46" s="6">
        <f t="shared" si="0"/>
        <v>0</v>
      </c>
      <c r="G46" s="2"/>
      <c r="H46" s="2">
        <f>SUM(OSRRefH22_3x_0)</f>
        <v>6738</v>
      </c>
      <c r="I46" s="2"/>
      <c r="J46" s="6">
        <f t="shared" si="1"/>
        <v>3.9970813831396487E-2</v>
      </c>
      <c r="K46" s="2"/>
      <c r="L46" s="2">
        <f t="shared" si="2"/>
        <v>-6738</v>
      </c>
      <c r="M46" s="2"/>
      <c r="N46" s="6">
        <f t="shared" si="3"/>
        <v>-1</v>
      </c>
      <c r="O46" s="14"/>
      <c r="P46" s="2">
        <f>SUM(OSRRefP22_3x_0)</f>
        <v>0.64</v>
      </c>
      <c r="Q46" s="2"/>
      <c r="R46" s="6">
        <f t="shared" si="4"/>
        <v>0</v>
      </c>
      <c r="S46" s="2"/>
      <c r="T46" s="2">
        <f>SUM(OSRRefT22_3x_0)</f>
        <v>18606</v>
      </c>
      <c r="U46" s="2"/>
      <c r="V46" s="6">
        <f t="shared" si="5"/>
        <v>3.9970268272981939E-2</v>
      </c>
      <c r="W46" s="2"/>
      <c r="X46" s="2">
        <f t="shared" si="6"/>
        <v>-18605.36</v>
      </c>
      <c r="Y46" s="2"/>
      <c r="Z46" s="6">
        <f t="shared" si="7"/>
        <v>-0.99996560249381927</v>
      </c>
    </row>
    <row r="47" spans="1:26" s="70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8"/>
      <c r="E47" s="3"/>
      <c r="F47" s="7">
        <f t="shared" si="0"/>
        <v>0</v>
      </c>
      <c r="G47" s="3"/>
      <c r="H47" s="8">
        <v>6738</v>
      </c>
      <c r="I47" s="3"/>
      <c r="J47" s="7">
        <f t="shared" si="1"/>
        <v>3.9970813831396487E-2</v>
      </c>
      <c r="K47" s="3"/>
      <c r="L47" s="8">
        <f t="shared" si="2"/>
        <v>-6738</v>
      </c>
      <c r="M47" s="3"/>
      <c r="N47" s="7">
        <f t="shared" si="3"/>
        <v>-1</v>
      </c>
      <c r="O47" s="12"/>
      <c r="P47" s="8">
        <v>0.64</v>
      </c>
      <c r="Q47" s="3"/>
      <c r="R47" s="7">
        <f t="shared" si="4"/>
        <v>0</v>
      </c>
      <c r="S47" s="3"/>
      <c r="T47" s="8">
        <v>18606</v>
      </c>
      <c r="U47" s="3"/>
      <c r="V47" s="7">
        <f t="shared" si="5"/>
        <v>3.9970268272981939E-2</v>
      </c>
      <c r="W47" s="3"/>
      <c r="X47" s="8">
        <f t="shared" si="6"/>
        <v>-18605.36</v>
      </c>
      <c r="Y47" s="3"/>
      <c r="Z47" s="7">
        <f t="shared" si="7"/>
        <v>-0.99996560249381927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SUM(OSRRefD22_4x_0)</f>
        <v>6701.08</v>
      </c>
      <c r="E48" s="2"/>
      <c r="F48" s="6">
        <f t="shared" si="0"/>
        <v>0</v>
      </c>
      <c r="G48" s="2"/>
      <c r="H48" s="2">
        <f>SUM(OSRRefH22_4x_0)</f>
        <v>6701</v>
      </c>
      <c r="I48" s="2"/>
      <c r="J48" s="6">
        <f t="shared" si="1"/>
        <v>3.9751324352061128E-2</v>
      </c>
      <c r="K48" s="2"/>
      <c r="L48" s="2">
        <f t="shared" si="2"/>
        <v>7.999999999992724E-2</v>
      </c>
      <c r="M48" s="2"/>
      <c r="N48" s="6">
        <f t="shared" si="3"/>
        <v>1.1938516639296707E-5</v>
      </c>
      <c r="O48" s="14"/>
      <c r="P48" s="2">
        <f>SUM(OSRRefP22_4x_0)</f>
        <v>53696.78</v>
      </c>
      <c r="Q48" s="2"/>
      <c r="R48" s="6">
        <f t="shared" si="4"/>
        <v>0</v>
      </c>
      <c r="S48" s="2"/>
      <c r="T48" s="2">
        <f>SUM(OSRRefT22_4x_0)</f>
        <v>53696</v>
      </c>
      <c r="U48" s="2"/>
      <c r="V48" s="6">
        <f t="shared" si="5"/>
        <v>0.11535222644233248</v>
      </c>
      <c r="W48" s="2"/>
      <c r="X48" s="2">
        <f t="shared" si="6"/>
        <v>0.77999999999883585</v>
      </c>
      <c r="Y48" s="2"/>
      <c r="Z48" s="6">
        <f t="shared" si="7"/>
        <v>1.4526221692469381E-5</v>
      </c>
    </row>
    <row r="49" spans="1:26" s="70" customFormat="1" ht="15" hidden="1" customHeight="1" outlineLevel="2" x14ac:dyDescent="0.3">
      <c r="A49" s="26"/>
      <c r="B49" s="12" t="str">
        <f>CONCATENATE("          ","6321"," - ","BUILDING DEPRECIATION")</f>
        <v xml:space="preserve">          6321 - BUILDING DEPRECIATION</v>
      </c>
      <c r="C49" s="12"/>
      <c r="D49" s="8">
        <v>6492.96</v>
      </c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6492.96</v>
      </c>
      <c r="M49" s="3"/>
      <c r="N49" s="7">
        <f t="shared" si="3"/>
        <v>0</v>
      </c>
      <c r="O49" s="12"/>
      <c r="P49" s="8">
        <v>52031.82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52031.82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208.12</v>
      </c>
      <c r="E50" s="3"/>
      <c r="F50" s="7">
        <f t="shared" si="0"/>
        <v>0</v>
      </c>
      <c r="G50" s="3"/>
      <c r="H50" s="8">
        <v>6701</v>
      </c>
      <c r="I50" s="3"/>
      <c r="J50" s="7">
        <f t="shared" si="1"/>
        <v>3.9751324352061128E-2</v>
      </c>
      <c r="K50" s="3"/>
      <c r="L50" s="8">
        <f t="shared" si="2"/>
        <v>-6492.88</v>
      </c>
      <c r="M50" s="3"/>
      <c r="N50" s="7">
        <f t="shared" si="3"/>
        <v>-0.96894194896284136</v>
      </c>
      <c r="O50" s="12"/>
      <c r="P50" s="8">
        <v>1664.96</v>
      </c>
      <c r="Q50" s="3"/>
      <c r="R50" s="7">
        <f t="shared" si="4"/>
        <v>0</v>
      </c>
      <c r="S50" s="3"/>
      <c r="T50" s="8">
        <v>53696</v>
      </c>
      <c r="U50" s="3"/>
      <c r="V50" s="7">
        <f t="shared" si="5"/>
        <v>0.11535222644233248</v>
      </c>
      <c r="W50" s="3"/>
      <c r="X50" s="8">
        <f t="shared" si="6"/>
        <v>-52031.040000000001</v>
      </c>
      <c r="Y50" s="3"/>
      <c r="Z50" s="7">
        <f t="shared" si="7"/>
        <v>-0.96899284862932067</v>
      </c>
    </row>
    <row r="51" spans="1:26" s="69" customFormat="1" ht="15" customHeight="1" outlineLevel="1" collapsed="1" x14ac:dyDescent="0.3">
      <c r="A51" s="25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SUM(OSRRefD22_5x_0)</f>
        <v>0</v>
      </c>
      <c r="E51" s="2"/>
      <c r="F51" s="6">
        <f t="shared" si="0"/>
        <v>0</v>
      </c>
      <c r="G51" s="2"/>
      <c r="H51" s="2">
        <f>SUM(OSRRefH22_5x_0)</f>
        <v>0</v>
      </c>
      <c r="I51" s="2"/>
      <c r="J51" s="6">
        <f t="shared" si="1"/>
        <v>0</v>
      </c>
      <c r="K51" s="2"/>
      <c r="L51" s="2">
        <f t="shared" si="2"/>
        <v>0</v>
      </c>
      <c r="M51" s="2"/>
      <c r="N51" s="6">
        <f t="shared" si="3"/>
        <v>0</v>
      </c>
      <c r="O51" s="14"/>
      <c r="P51" s="2">
        <f>SUM(OSRRefP22_5x_0)</f>
        <v>49.95</v>
      </c>
      <c r="Q51" s="2"/>
      <c r="R51" s="6">
        <f t="shared" si="4"/>
        <v>0</v>
      </c>
      <c r="S51" s="2"/>
      <c r="T51" s="2">
        <f>SUM(OSRRefT22_5x_0)</f>
        <v>80</v>
      </c>
      <c r="U51" s="2"/>
      <c r="V51" s="6">
        <f t="shared" si="5"/>
        <v>1.7185969374602575E-4</v>
      </c>
      <c r="W51" s="2"/>
      <c r="X51" s="2">
        <f t="shared" si="6"/>
        <v>-30.049999999999997</v>
      </c>
      <c r="Y51" s="2"/>
      <c r="Z51" s="6">
        <f t="shared" si="7"/>
        <v>-0.37562499999999999</v>
      </c>
    </row>
    <row r="52" spans="1:26" s="70" customFormat="1" ht="15" hidden="1" customHeight="1" outlineLevel="2" x14ac:dyDescent="0.3">
      <c r="A52" s="26"/>
      <c r="B52" s="12" t="str">
        <f>CONCATENATE("          ","6277"," - ","EMPLOYEE APPRECIATION")</f>
        <v xml:space="preserve">          6277 - EMPLOYEE APPRECIATION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49.95</v>
      </c>
      <c r="Q52" s="3"/>
      <c r="R52" s="7">
        <f t="shared" si="4"/>
        <v>0</v>
      </c>
      <c r="S52" s="3"/>
      <c r="T52" s="8">
        <v>80</v>
      </c>
      <c r="U52" s="3"/>
      <c r="V52" s="7">
        <f t="shared" si="5"/>
        <v>1.7185969374602575E-4</v>
      </c>
      <c r="W52" s="3"/>
      <c r="X52" s="8">
        <f t="shared" si="6"/>
        <v>-30.049999999999997</v>
      </c>
      <c r="Y52" s="3"/>
      <c r="Z52" s="7">
        <f t="shared" si="7"/>
        <v>-0.37562499999999999</v>
      </c>
    </row>
    <row r="53" spans="1:26" s="69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SUM(OSRRefD22_6x_0)</f>
        <v>517.09</v>
      </c>
      <c r="E53" s="2"/>
      <c r="F53" s="6">
        <f t="shared" si="0"/>
        <v>0</v>
      </c>
      <c r="G53" s="2"/>
      <c r="H53" s="2">
        <f>SUM(OSRRefH22_6x_0)</f>
        <v>200</v>
      </c>
      <c r="I53" s="2"/>
      <c r="J53" s="6">
        <f t="shared" si="1"/>
        <v>1.1864296180289845E-3</v>
      </c>
      <c r="K53" s="2"/>
      <c r="L53" s="2">
        <f t="shared" si="2"/>
        <v>317.09000000000003</v>
      </c>
      <c r="M53" s="2"/>
      <c r="N53" s="6">
        <f t="shared" si="3"/>
        <v>1.5854500000000002</v>
      </c>
      <c r="O53" s="14"/>
      <c r="P53" s="2">
        <f>SUM(OSRRefP22_6x_0)</f>
        <v>4166.76</v>
      </c>
      <c r="Q53" s="2"/>
      <c r="R53" s="6">
        <f t="shared" si="4"/>
        <v>0</v>
      </c>
      <c r="S53" s="2"/>
      <c r="T53" s="2">
        <f>SUM(OSRRefT22_6x_0)</f>
        <v>1600</v>
      </c>
      <c r="U53" s="2"/>
      <c r="V53" s="6">
        <f t="shared" si="5"/>
        <v>3.4371938749205148E-3</v>
      </c>
      <c r="W53" s="2"/>
      <c r="X53" s="2">
        <f t="shared" si="6"/>
        <v>2566.7600000000002</v>
      </c>
      <c r="Y53" s="2"/>
      <c r="Z53" s="6">
        <f t="shared" si="7"/>
        <v>1.6042250000000002</v>
      </c>
    </row>
    <row r="54" spans="1:26" s="70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8">
        <v>517.09</v>
      </c>
      <c r="E54" s="3"/>
      <c r="F54" s="7">
        <f t="shared" ref="F54:F83" si="8">IF(D$12=0,0,D54/D$12)</f>
        <v>0</v>
      </c>
      <c r="G54" s="3"/>
      <c r="H54" s="8">
        <v>200</v>
      </c>
      <c r="I54" s="3"/>
      <c r="J54" s="7">
        <f t="shared" ref="J54:J83" si="9">IF(H$12=0,0,H54/H$12)</f>
        <v>1.1864296180289845E-3</v>
      </c>
      <c r="K54" s="3"/>
      <c r="L54" s="8">
        <f t="shared" ref="L54:L83" si="10">+D54-H54</f>
        <v>317.09000000000003</v>
      </c>
      <c r="M54" s="3"/>
      <c r="N54" s="7">
        <f t="shared" ref="N54:N83" si="11">IF(H54=0,0,L54/H54)</f>
        <v>1.5854500000000002</v>
      </c>
      <c r="O54" s="12"/>
      <c r="P54" s="8">
        <v>4166.76</v>
      </c>
      <c r="Q54" s="3"/>
      <c r="R54" s="7">
        <f t="shared" ref="R54:R83" si="12">IF(P$12=0,0,P54/P$12)</f>
        <v>0</v>
      </c>
      <c r="S54" s="3"/>
      <c r="T54" s="8">
        <v>1600</v>
      </c>
      <c r="U54" s="3"/>
      <c r="V54" s="7">
        <f t="shared" ref="V54:V83" si="13">IF(T$12=0,0,T54/T$12)</f>
        <v>3.4371938749205148E-3</v>
      </c>
      <c r="W54" s="3"/>
      <c r="X54" s="8">
        <f t="shared" ref="X54:X83" si="14">+P54-T54</f>
        <v>2566.7600000000002</v>
      </c>
      <c r="Y54" s="3"/>
      <c r="Z54" s="7">
        <f t="shared" ref="Z54:Z83" si="15">IF(T54=0,0,X54/T54)</f>
        <v>1.6042250000000002</v>
      </c>
    </row>
    <row r="55" spans="1:26" s="69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SUM(OSRRefD22_7x_0)</f>
        <v>1760</v>
      </c>
      <c r="E55" s="2"/>
      <c r="F55" s="6">
        <f t="shared" si="8"/>
        <v>0</v>
      </c>
      <c r="G55" s="2"/>
      <c r="H55" s="2">
        <f>SUM(OSRRefH22_7x_0)</f>
        <v>0</v>
      </c>
      <c r="I55" s="2"/>
      <c r="J55" s="6">
        <f t="shared" si="9"/>
        <v>0</v>
      </c>
      <c r="K55" s="2"/>
      <c r="L55" s="2">
        <f t="shared" si="10"/>
        <v>1760</v>
      </c>
      <c r="M55" s="2"/>
      <c r="N55" s="6">
        <f t="shared" si="11"/>
        <v>0</v>
      </c>
      <c r="O55" s="14"/>
      <c r="P55" s="2">
        <f>SUM(OSRRefP22_7x_0)</f>
        <v>3074.55</v>
      </c>
      <c r="Q55" s="2"/>
      <c r="R55" s="6">
        <f t="shared" si="12"/>
        <v>0</v>
      </c>
      <c r="S55" s="2"/>
      <c r="T55" s="2">
        <f>SUM(OSRRefT22_7x_0)</f>
        <v>2150</v>
      </c>
      <c r="U55" s="2"/>
      <c r="V55" s="6">
        <f t="shared" si="13"/>
        <v>4.6187292694244422E-3</v>
      </c>
      <c r="W55" s="2"/>
      <c r="X55" s="2">
        <f t="shared" si="14"/>
        <v>924.55000000000018</v>
      </c>
      <c r="Y55" s="2"/>
      <c r="Z55" s="6">
        <f t="shared" si="15"/>
        <v>0.43002325581395356</v>
      </c>
    </row>
    <row r="56" spans="1:26" s="70" customFormat="1" ht="15" hidden="1" customHeight="1" outlineLevel="2" x14ac:dyDescent="0.3">
      <c r="A56" s="26"/>
      <c r="B56" s="12" t="str">
        <f>CONCATENATE("          ","6269"," - ","ENTERTAINMENT")</f>
        <v xml:space="preserve">          6269 - ENTERTAINMENT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/>
      <c r="Q56" s="3"/>
      <c r="R56" s="7">
        <f t="shared" si="12"/>
        <v>0</v>
      </c>
      <c r="S56" s="3"/>
      <c r="T56" s="8">
        <v>250</v>
      </c>
      <c r="U56" s="3"/>
      <c r="V56" s="7">
        <f t="shared" si="13"/>
        <v>5.3706154295633042E-4</v>
      </c>
      <c r="W56" s="3"/>
      <c r="X56" s="8">
        <f t="shared" si="14"/>
        <v>-250</v>
      </c>
      <c r="Y56" s="3"/>
      <c r="Z56" s="7">
        <f t="shared" si="15"/>
        <v>-1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8">
        <v>1760</v>
      </c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1760</v>
      </c>
      <c r="M57" s="3"/>
      <c r="N57" s="7">
        <f t="shared" si="11"/>
        <v>0</v>
      </c>
      <c r="O57" s="12"/>
      <c r="P57" s="8">
        <v>3074.55</v>
      </c>
      <c r="Q57" s="3"/>
      <c r="R57" s="7">
        <f t="shared" si="12"/>
        <v>0</v>
      </c>
      <c r="S57" s="3"/>
      <c r="T57" s="8">
        <v>1900</v>
      </c>
      <c r="U57" s="3"/>
      <c r="V57" s="7">
        <f t="shared" si="13"/>
        <v>4.0816677264681111E-3</v>
      </c>
      <c r="W57" s="3"/>
      <c r="X57" s="8">
        <f t="shared" si="14"/>
        <v>1174.5500000000002</v>
      </c>
      <c r="Y57" s="3"/>
      <c r="Z57" s="7">
        <f t="shared" si="15"/>
        <v>0.61818421052631589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2529</v>
      </c>
      <c r="I58" s="2"/>
      <c r="J58" s="6">
        <f t="shared" si="9"/>
        <v>1.500240251997651E-2</v>
      </c>
      <c r="K58" s="2"/>
      <c r="L58" s="2">
        <f t="shared" si="10"/>
        <v>-2529</v>
      </c>
      <c r="M58" s="2"/>
      <c r="N58" s="6">
        <f t="shared" si="11"/>
        <v>-1</v>
      </c>
      <c r="O58" s="14"/>
      <c r="P58" s="2">
        <f>SUM(OSRRefP22_8x_0)</f>
        <v>8289.41</v>
      </c>
      <c r="Q58" s="2"/>
      <c r="R58" s="6">
        <f t="shared" si="12"/>
        <v>0</v>
      </c>
      <c r="S58" s="2"/>
      <c r="T58" s="2">
        <f>SUM(OSRRefT22_8x_0)</f>
        <v>19540</v>
      </c>
      <c r="U58" s="2"/>
      <c r="V58" s="6">
        <f t="shared" si="13"/>
        <v>4.197673019746679E-2</v>
      </c>
      <c r="W58" s="2"/>
      <c r="X58" s="2">
        <f t="shared" si="14"/>
        <v>-11250.59</v>
      </c>
      <c r="Y58" s="2"/>
      <c r="Z58" s="6">
        <f t="shared" si="15"/>
        <v>-0.57577226202661214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3141.43</v>
      </c>
      <c r="Q59" s="3"/>
      <c r="R59" s="7">
        <f t="shared" si="12"/>
        <v>0</v>
      </c>
      <c r="S59" s="3"/>
      <c r="T59" s="8">
        <v>1500</v>
      </c>
      <c r="U59" s="3"/>
      <c r="V59" s="7">
        <f t="shared" si="13"/>
        <v>3.2223692577379825E-3</v>
      </c>
      <c r="W59" s="3"/>
      <c r="X59" s="8">
        <f t="shared" si="14"/>
        <v>1641.4299999999998</v>
      </c>
      <c r="Y59" s="3"/>
      <c r="Z59" s="7">
        <f t="shared" si="15"/>
        <v>1.0942866666666666</v>
      </c>
    </row>
    <row r="60" spans="1:26" s="70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8"/>
      <c r="E60" s="3"/>
      <c r="F60" s="7">
        <f t="shared" si="8"/>
        <v>0</v>
      </c>
      <c r="G60" s="3"/>
      <c r="H60" s="8">
        <v>2529</v>
      </c>
      <c r="I60" s="3"/>
      <c r="J60" s="7">
        <f t="shared" si="9"/>
        <v>1.500240251997651E-2</v>
      </c>
      <c r="K60" s="3"/>
      <c r="L60" s="8">
        <f t="shared" si="10"/>
        <v>-2529</v>
      </c>
      <c r="M60" s="3"/>
      <c r="N60" s="7">
        <f t="shared" si="11"/>
        <v>-1</v>
      </c>
      <c r="O60" s="12"/>
      <c r="P60" s="8">
        <v>5147.9799999999996</v>
      </c>
      <c r="Q60" s="3"/>
      <c r="R60" s="7">
        <f t="shared" si="12"/>
        <v>0</v>
      </c>
      <c r="S60" s="3"/>
      <c r="T60" s="8">
        <v>18040</v>
      </c>
      <c r="U60" s="3"/>
      <c r="V60" s="7">
        <f t="shared" si="13"/>
        <v>3.8754360939728803E-2</v>
      </c>
      <c r="W60" s="3"/>
      <c r="X60" s="8">
        <f t="shared" si="14"/>
        <v>-12892.02</v>
      </c>
      <c r="Y60" s="3"/>
      <c r="Z60" s="7">
        <f t="shared" si="15"/>
        <v>-0.71463525498891356</v>
      </c>
    </row>
    <row r="61" spans="1:26" s="69" customFormat="1" ht="15" customHeight="1" outlineLevel="1" collapsed="1" x14ac:dyDescent="0.3">
      <c r="A61" s="25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SUM(OSRRefD22_9x_0)</f>
        <v>0</v>
      </c>
      <c r="E61" s="2"/>
      <c r="F61" s="6">
        <f t="shared" si="8"/>
        <v>0</v>
      </c>
      <c r="G61" s="2"/>
      <c r="H61" s="2">
        <f>SUM(OSRRefH22_9x_0)</f>
        <v>3225</v>
      </c>
      <c r="I61" s="2"/>
      <c r="J61" s="6">
        <f t="shared" si="9"/>
        <v>1.9131177590717374E-2</v>
      </c>
      <c r="K61" s="2"/>
      <c r="L61" s="2">
        <f t="shared" si="10"/>
        <v>-3225</v>
      </c>
      <c r="M61" s="2"/>
      <c r="N61" s="6">
        <f t="shared" si="11"/>
        <v>-1</v>
      </c>
      <c r="O61" s="14"/>
      <c r="P61" s="2">
        <f>SUM(OSRRefP22_9x_0)</f>
        <v>260</v>
      </c>
      <c r="Q61" s="2"/>
      <c r="R61" s="6">
        <f t="shared" si="12"/>
        <v>0</v>
      </c>
      <c r="S61" s="2"/>
      <c r="T61" s="2">
        <f>SUM(OSRRefT22_9x_0)</f>
        <v>22875</v>
      </c>
      <c r="U61" s="2"/>
      <c r="V61" s="6">
        <f t="shared" si="13"/>
        <v>4.9141131180504234E-2</v>
      </c>
      <c r="W61" s="2"/>
      <c r="X61" s="2">
        <f t="shared" si="14"/>
        <v>-22615</v>
      </c>
      <c r="Y61" s="2"/>
      <c r="Z61" s="6">
        <f t="shared" si="15"/>
        <v>-0.98863387978142081</v>
      </c>
    </row>
    <row r="62" spans="1:26" s="70" customFormat="1" ht="15" hidden="1" customHeight="1" outlineLevel="2" x14ac:dyDescent="0.3">
      <c r="A62" s="26"/>
      <c r="B62" s="12" t="str">
        <f>CONCATENATE("          ","6283"," - ","PLANT SERVICE")</f>
        <v xml:space="preserve">          6283 - PLANT SERVICE</v>
      </c>
      <c r="C62" s="12"/>
      <c r="D62" s="8"/>
      <c r="E62" s="3"/>
      <c r="F62" s="7">
        <f t="shared" si="8"/>
        <v>0</v>
      </c>
      <c r="G62" s="3"/>
      <c r="H62" s="8">
        <v>100</v>
      </c>
      <c r="I62" s="3"/>
      <c r="J62" s="7">
        <f t="shared" si="9"/>
        <v>5.9321480901449223E-4</v>
      </c>
      <c r="K62" s="3"/>
      <c r="L62" s="8">
        <f t="shared" si="10"/>
        <v>-100</v>
      </c>
      <c r="M62" s="3"/>
      <c r="N62" s="7">
        <f t="shared" si="11"/>
        <v>-1</v>
      </c>
      <c r="O62" s="12"/>
      <c r="P62" s="8"/>
      <c r="Q62" s="3"/>
      <c r="R62" s="7">
        <f t="shared" si="12"/>
        <v>0</v>
      </c>
      <c r="S62" s="3"/>
      <c r="T62" s="8">
        <v>800</v>
      </c>
      <c r="U62" s="3"/>
      <c r="V62" s="7">
        <f t="shared" si="13"/>
        <v>1.7185969374602574E-3</v>
      </c>
      <c r="W62" s="3"/>
      <c r="X62" s="8">
        <f t="shared" si="14"/>
        <v>-800</v>
      </c>
      <c r="Y62" s="3"/>
      <c r="Z62" s="7">
        <f t="shared" si="15"/>
        <v>-1</v>
      </c>
    </row>
    <row r="63" spans="1:26" s="70" customFormat="1" ht="15" hidden="1" customHeight="1" outlineLevel="2" x14ac:dyDescent="0.3">
      <c r="A63" s="26"/>
      <c r="B63" s="12" t="str">
        <f>CONCATENATE("          ","6284"," - ","TRASH REMOVAL EXPENSE")</f>
        <v xml:space="preserve">          6284 - TRASH REMOVAL EXPENSE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/>
      <c r="Q63" s="3"/>
      <c r="R63" s="7">
        <f t="shared" si="12"/>
        <v>0</v>
      </c>
      <c r="S63" s="3"/>
      <c r="T63" s="8">
        <v>0</v>
      </c>
      <c r="U63" s="3"/>
      <c r="V63" s="7">
        <f t="shared" si="13"/>
        <v>0</v>
      </c>
      <c r="W63" s="3"/>
      <c r="X63" s="8">
        <f t="shared" si="14"/>
        <v>0</v>
      </c>
      <c r="Y63" s="3"/>
      <c r="Z63" s="7">
        <f t="shared" si="15"/>
        <v>0</v>
      </c>
    </row>
    <row r="64" spans="1:26" s="70" customFormat="1" ht="15" hidden="1" customHeight="1" outlineLevel="2" x14ac:dyDescent="0.3">
      <c r="A64" s="26"/>
      <c r="B64" s="12" t="str">
        <f>CONCATENATE("          ","6285"," - ","JANITORIAL SERVICES")</f>
        <v xml:space="preserve">          6285 - JANITORIAL SERVICES</v>
      </c>
      <c r="C64" s="12"/>
      <c r="D64" s="8"/>
      <c r="E64" s="3"/>
      <c r="F64" s="7">
        <f t="shared" si="8"/>
        <v>0</v>
      </c>
      <c r="G64" s="3"/>
      <c r="H64" s="8">
        <v>3100</v>
      </c>
      <c r="I64" s="3"/>
      <c r="J64" s="7">
        <f t="shared" si="9"/>
        <v>1.8389659079449259E-2</v>
      </c>
      <c r="K64" s="3"/>
      <c r="L64" s="8">
        <f t="shared" si="10"/>
        <v>-3100</v>
      </c>
      <c r="M64" s="3"/>
      <c r="N64" s="7">
        <f t="shared" si="11"/>
        <v>-1</v>
      </c>
      <c r="O64" s="12"/>
      <c r="P64" s="8">
        <v>260</v>
      </c>
      <c r="Q64" s="3"/>
      <c r="R64" s="7">
        <f t="shared" si="12"/>
        <v>0</v>
      </c>
      <c r="S64" s="3"/>
      <c r="T64" s="8">
        <v>21700</v>
      </c>
      <c r="U64" s="3"/>
      <c r="V64" s="7">
        <f t="shared" si="13"/>
        <v>4.6616941928609483E-2</v>
      </c>
      <c r="W64" s="3"/>
      <c r="X64" s="8">
        <f t="shared" si="14"/>
        <v>-21440</v>
      </c>
      <c r="Y64" s="3"/>
      <c r="Z64" s="7">
        <f t="shared" si="15"/>
        <v>-0.98801843317972349</v>
      </c>
    </row>
    <row r="65" spans="1:26" s="70" customFormat="1" ht="15" hidden="1" customHeight="1" outlineLevel="2" x14ac:dyDescent="0.3">
      <c r="A65" s="26"/>
      <c r="B65" s="12" t="str">
        <f>CONCATENATE("          ","6286"," - ","LAUNDRY EXPENSE")</f>
        <v xml:space="preserve">          6286 - LAUNDRY EXPENSE</v>
      </c>
      <c r="C65" s="12"/>
      <c r="D65" s="8"/>
      <c r="E65" s="3"/>
      <c r="F65" s="7">
        <f t="shared" si="8"/>
        <v>0</v>
      </c>
      <c r="G65" s="3"/>
      <c r="H65" s="8">
        <v>25</v>
      </c>
      <c r="I65" s="3"/>
      <c r="J65" s="7">
        <f t="shared" si="9"/>
        <v>1.4830370225362306E-4</v>
      </c>
      <c r="K65" s="3"/>
      <c r="L65" s="8">
        <f t="shared" si="10"/>
        <v>-25</v>
      </c>
      <c r="M65" s="3"/>
      <c r="N65" s="7">
        <f t="shared" si="11"/>
        <v>-1</v>
      </c>
      <c r="O65" s="12"/>
      <c r="P65" s="8"/>
      <c r="Q65" s="3"/>
      <c r="R65" s="7">
        <f t="shared" si="12"/>
        <v>0</v>
      </c>
      <c r="S65" s="3"/>
      <c r="T65" s="8">
        <v>375</v>
      </c>
      <c r="U65" s="3"/>
      <c r="V65" s="7">
        <f t="shared" si="13"/>
        <v>8.0559231443449563E-4</v>
      </c>
      <c r="W65" s="3"/>
      <c r="X65" s="8">
        <f t="shared" si="14"/>
        <v>-375</v>
      </c>
      <c r="Y65" s="3"/>
      <c r="Z65" s="7">
        <f t="shared" si="15"/>
        <v>-1</v>
      </c>
    </row>
    <row r="66" spans="1:26" s="69" customFormat="1" ht="15" customHeight="1" outlineLevel="1" collapsed="1" x14ac:dyDescent="0.3">
      <c r="A66" s="25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SUM(OSRRefD22_10x_0)</f>
        <v>214.92</v>
      </c>
      <c r="E66" s="2"/>
      <c r="F66" s="6">
        <f t="shared" si="8"/>
        <v>0</v>
      </c>
      <c r="G66" s="2"/>
      <c r="H66" s="2">
        <f>SUM(OSRRefH22_10x_0)</f>
        <v>200</v>
      </c>
      <c r="I66" s="2"/>
      <c r="J66" s="6">
        <f t="shared" si="9"/>
        <v>1.1864296180289845E-3</v>
      </c>
      <c r="K66" s="2"/>
      <c r="L66" s="2">
        <f t="shared" si="10"/>
        <v>14.919999999999987</v>
      </c>
      <c r="M66" s="2"/>
      <c r="N66" s="6">
        <f t="shared" si="11"/>
        <v>7.4599999999999944E-2</v>
      </c>
      <c r="O66" s="14"/>
      <c r="P66" s="2">
        <f>SUM(OSRRefP22_10x_0)</f>
        <v>1656.04</v>
      </c>
      <c r="Q66" s="2"/>
      <c r="R66" s="6">
        <f t="shared" si="12"/>
        <v>0</v>
      </c>
      <c r="S66" s="2"/>
      <c r="T66" s="2">
        <f>SUM(OSRRefT22_10x_0)</f>
        <v>1400</v>
      </c>
      <c r="U66" s="2"/>
      <c r="V66" s="6">
        <f t="shared" si="13"/>
        <v>3.0075446405554507E-3</v>
      </c>
      <c r="W66" s="2"/>
      <c r="X66" s="2">
        <f t="shared" si="14"/>
        <v>256.03999999999996</v>
      </c>
      <c r="Y66" s="2"/>
      <c r="Z66" s="6">
        <f t="shared" si="15"/>
        <v>0.18288571428571426</v>
      </c>
    </row>
    <row r="67" spans="1:26" s="70" customFormat="1" ht="15" hidden="1" customHeight="1" outlineLevel="2" x14ac:dyDescent="0.3">
      <c r="A67" s="26"/>
      <c r="B67" s="12" t="str">
        <f>CONCATENATE("          ","6275"," - ","SUBSCRIPTIONS")</f>
        <v xml:space="preserve">          6275 - SUBSCRIPTIONS</v>
      </c>
      <c r="C67" s="12"/>
      <c r="D67" s="8">
        <v>214.92</v>
      </c>
      <c r="E67" s="3"/>
      <c r="F67" s="7">
        <f t="shared" si="8"/>
        <v>0</v>
      </c>
      <c r="G67" s="3"/>
      <c r="H67" s="8">
        <v>200</v>
      </c>
      <c r="I67" s="3"/>
      <c r="J67" s="7">
        <f t="shared" si="9"/>
        <v>1.1864296180289845E-3</v>
      </c>
      <c r="K67" s="3"/>
      <c r="L67" s="8">
        <f t="shared" si="10"/>
        <v>14.919999999999987</v>
      </c>
      <c r="M67" s="3"/>
      <c r="N67" s="7">
        <f t="shared" si="11"/>
        <v>7.4599999999999944E-2</v>
      </c>
      <c r="O67" s="12"/>
      <c r="P67" s="8">
        <v>1656.04</v>
      </c>
      <c r="Q67" s="3"/>
      <c r="R67" s="7">
        <f t="shared" si="12"/>
        <v>0</v>
      </c>
      <c r="S67" s="3"/>
      <c r="T67" s="8">
        <v>1400</v>
      </c>
      <c r="U67" s="3"/>
      <c r="V67" s="7">
        <f t="shared" si="13"/>
        <v>3.0075446405554507E-3</v>
      </c>
      <c r="W67" s="3"/>
      <c r="X67" s="8">
        <f t="shared" si="14"/>
        <v>256.03999999999996</v>
      </c>
      <c r="Y67" s="3"/>
      <c r="Z67" s="7">
        <f t="shared" si="15"/>
        <v>0.18288571428571426</v>
      </c>
    </row>
    <row r="68" spans="1:26" s="69" customFormat="1" ht="15" customHeight="1" outlineLevel="1" collapsed="1" x14ac:dyDescent="0.3">
      <c r="A68" s="25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SUM(OSRRefD22_11x_0)</f>
        <v>0</v>
      </c>
      <c r="E68" s="2"/>
      <c r="F68" s="6">
        <f t="shared" si="8"/>
        <v>0</v>
      </c>
      <c r="G68" s="2"/>
      <c r="H68" s="2">
        <f>SUM(OSRRefH22_11x_0)</f>
        <v>500</v>
      </c>
      <c r="I68" s="2"/>
      <c r="J68" s="6">
        <f t="shared" si="9"/>
        <v>2.9660740450724614E-3</v>
      </c>
      <c r="K68" s="2"/>
      <c r="L68" s="2">
        <f t="shared" si="10"/>
        <v>-500</v>
      </c>
      <c r="M68" s="2"/>
      <c r="N68" s="6">
        <f t="shared" si="11"/>
        <v>-1</v>
      </c>
      <c r="O68" s="14"/>
      <c r="P68" s="2">
        <f>SUM(OSRRefP22_11x_0)</f>
        <v>2380.84</v>
      </c>
      <c r="Q68" s="2"/>
      <c r="R68" s="6">
        <f t="shared" si="12"/>
        <v>0</v>
      </c>
      <c r="S68" s="2"/>
      <c r="T68" s="2">
        <f>SUM(OSRRefT22_11x_0)</f>
        <v>11000</v>
      </c>
      <c r="U68" s="2"/>
      <c r="V68" s="6">
        <f t="shared" si="13"/>
        <v>2.3630707890078539E-2</v>
      </c>
      <c r="W68" s="2"/>
      <c r="X68" s="2">
        <f t="shared" si="14"/>
        <v>-8619.16</v>
      </c>
      <c r="Y68" s="2"/>
      <c r="Z68" s="6">
        <f t="shared" si="15"/>
        <v>-0.78356000000000003</v>
      </c>
    </row>
    <row r="69" spans="1:26" s="70" customFormat="1" ht="15" hidden="1" customHeight="1" outlineLevel="2" x14ac:dyDescent="0.3">
      <c r="A69" s="26"/>
      <c r="B69" s="12" t="str">
        <f>CONCATENATE("          ","6235"," - ","COVID-19 EXPENSES")</f>
        <v xml:space="preserve">          6235 - COVID-19 EXPENSES</v>
      </c>
      <c r="C69" s="12"/>
      <c r="D69" s="8"/>
      <c r="E69" s="3"/>
      <c r="F69" s="7">
        <f t="shared" si="8"/>
        <v>0</v>
      </c>
      <c r="G69" s="3"/>
      <c r="H69" s="8">
        <v>175</v>
      </c>
      <c r="I69" s="3"/>
      <c r="J69" s="7">
        <f t="shared" si="9"/>
        <v>1.0381259157753613E-3</v>
      </c>
      <c r="K69" s="3"/>
      <c r="L69" s="8">
        <f t="shared" si="10"/>
        <v>-175</v>
      </c>
      <c r="M69" s="3"/>
      <c r="N69" s="7">
        <f t="shared" si="11"/>
        <v>-1</v>
      </c>
      <c r="O69" s="12"/>
      <c r="P69" s="8"/>
      <c r="Q69" s="3"/>
      <c r="R69" s="7">
        <f t="shared" si="12"/>
        <v>0</v>
      </c>
      <c r="S69" s="3"/>
      <c r="T69" s="8">
        <v>1475</v>
      </c>
      <c r="U69" s="3"/>
      <c r="V69" s="7">
        <f t="shared" si="13"/>
        <v>3.1686631034423497E-3</v>
      </c>
      <c r="W69" s="3"/>
      <c r="X69" s="8">
        <f t="shared" si="14"/>
        <v>-1475</v>
      </c>
      <c r="Y69" s="3"/>
      <c r="Z69" s="7">
        <f t="shared" si="15"/>
        <v>-1</v>
      </c>
    </row>
    <row r="70" spans="1:26" s="70" customFormat="1" ht="15" hidden="1" customHeight="1" outlineLevel="2" x14ac:dyDescent="0.3">
      <c r="A70" s="26"/>
      <c r="B70" s="12" t="str">
        <f>CONCATENATE("          ","6237"," - ","JANITORIAL SUPPLIES")</f>
        <v xml:space="preserve">          6237 - JANITORIAL SUPPLIES</v>
      </c>
      <c r="C70" s="12"/>
      <c r="D70" s="8"/>
      <c r="E70" s="3"/>
      <c r="F70" s="7">
        <f t="shared" si="8"/>
        <v>0</v>
      </c>
      <c r="G70" s="3"/>
      <c r="H70" s="8">
        <v>75</v>
      </c>
      <c r="I70" s="3"/>
      <c r="J70" s="7">
        <f t="shared" si="9"/>
        <v>4.4491110676086917E-4</v>
      </c>
      <c r="K70" s="3"/>
      <c r="L70" s="8">
        <f t="shared" si="10"/>
        <v>-75</v>
      </c>
      <c r="M70" s="3"/>
      <c r="N70" s="7">
        <f t="shared" si="11"/>
        <v>-1</v>
      </c>
      <c r="O70" s="12"/>
      <c r="P70" s="8">
        <v>796.76</v>
      </c>
      <c r="Q70" s="3"/>
      <c r="R70" s="7">
        <f t="shared" si="12"/>
        <v>0</v>
      </c>
      <c r="S70" s="3"/>
      <c r="T70" s="8">
        <v>775</v>
      </c>
      <c r="U70" s="3"/>
      <c r="V70" s="7">
        <f t="shared" si="13"/>
        <v>1.6648907831646243E-3</v>
      </c>
      <c r="W70" s="3"/>
      <c r="X70" s="8">
        <f t="shared" si="14"/>
        <v>21.759999999999991</v>
      </c>
      <c r="Y70" s="3"/>
      <c r="Z70" s="7">
        <f t="shared" si="15"/>
        <v>2.8077419354838699E-2</v>
      </c>
    </row>
    <row r="71" spans="1:26" s="70" customFormat="1" ht="15" hidden="1" customHeight="1" outlineLevel="2" x14ac:dyDescent="0.3">
      <c r="A71" s="26"/>
      <c r="B71" s="12" t="str">
        <f>CONCATENATE("          ","6239"," - ","KITCHEN SUPPLIES")</f>
        <v xml:space="preserve">          6239 - KITCHEN SUPPLIES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214.67</v>
      </c>
      <c r="Q71" s="3"/>
      <c r="R71" s="7">
        <f t="shared" si="12"/>
        <v>0</v>
      </c>
      <c r="S71" s="3"/>
      <c r="T71" s="8">
        <v>5000</v>
      </c>
      <c r="U71" s="3"/>
      <c r="V71" s="7">
        <f t="shared" si="13"/>
        <v>1.0741230859126609E-2</v>
      </c>
      <c r="W71" s="3"/>
      <c r="X71" s="8">
        <f t="shared" si="14"/>
        <v>-4785.33</v>
      </c>
      <c r="Y71" s="3"/>
      <c r="Z71" s="7">
        <f t="shared" si="15"/>
        <v>-0.95706599999999997</v>
      </c>
    </row>
    <row r="72" spans="1:26" s="70" customFormat="1" ht="15" hidden="1" customHeight="1" outlineLevel="2" x14ac:dyDescent="0.3">
      <c r="A72" s="26"/>
      <c r="B72" s="12" t="str">
        <f>CONCATENATE("          ","6241"," - ","OFFICE EXPENSE")</f>
        <v xml:space="preserve">          6241 - OFFICE EXPENSE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>
        <v>893.22</v>
      </c>
      <c r="Q72" s="3"/>
      <c r="R72" s="7">
        <f t="shared" si="12"/>
        <v>0</v>
      </c>
      <c r="S72" s="3"/>
      <c r="T72" s="8">
        <v>150</v>
      </c>
      <c r="U72" s="3"/>
      <c r="V72" s="7">
        <f t="shared" si="13"/>
        <v>3.2223692577379828E-4</v>
      </c>
      <c r="W72" s="3"/>
      <c r="X72" s="8">
        <f t="shared" si="14"/>
        <v>743.22</v>
      </c>
      <c r="Y72" s="3"/>
      <c r="Z72" s="7">
        <f t="shared" si="15"/>
        <v>4.9548000000000005</v>
      </c>
    </row>
    <row r="73" spans="1:26" s="70" customFormat="1" ht="15" hidden="1" customHeight="1" outlineLevel="2" x14ac:dyDescent="0.3">
      <c r="A73" s="26"/>
      <c r="B73" s="12" t="str">
        <f>CONCATENATE("          ","6243"," - ","PAPER SUPPLIES")</f>
        <v xml:space="preserve">          6243 - PAPER SUPPLIES</v>
      </c>
      <c r="C73" s="12"/>
      <c r="D73" s="8"/>
      <c r="E73" s="3"/>
      <c r="F73" s="7">
        <f t="shared" si="8"/>
        <v>0</v>
      </c>
      <c r="G73" s="3"/>
      <c r="H73" s="8">
        <v>200</v>
      </c>
      <c r="I73" s="3"/>
      <c r="J73" s="7">
        <f t="shared" si="9"/>
        <v>1.1864296180289845E-3</v>
      </c>
      <c r="K73" s="3"/>
      <c r="L73" s="8">
        <f t="shared" si="10"/>
        <v>-200</v>
      </c>
      <c r="M73" s="3"/>
      <c r="N73" s="7">
        <f t="shared" si="11"/>
        <v>-1</v>
      </c>
      <c r="O73" s="12"/>
      <c r="P73" s="8">
        <v>138.19</v>
      </c>
      <c r="Q73" s="3"/>
      <c r="R73" s="7">
        <f t="shared" si="12"/>
        <v>0</v>
      </c>
      <c r="S73" s="3"/>
      <c r="T73" s="8">
        <v>1650</v>
      </c>
      <c r="U73" s="3"/>
      <c r="V73" s="7">
        <f t="shared" si="13"/>
        <v>3.5446061835117809E-3</v>
      </c>
      <c r="W73" s="3"/>
      <c r="X73" s="8">
        <f t="shared" si="14"/>
        <v>-1511.81</v>
      </c>
      <c r="Y73" s="3"/>
      <c r="Z73" s="7">
        <f t="shared" si="15"/>
        <v>-0.91624848484848487</v>
      </c>
    </row>
    <row r="74" spans="1:26" s="70" customFormat="1" ht="15" hidden="1" customHeight="1" outlineLevel="2" x14ac:dyDescent="0.3">
      <c r="A74" s="26"/>
      <c r="B74" s="12" t="str">
        <f>CONCATENATE("          ","6244"," - ","SAFETY SUPPLY EXPENSE")</f>
        <v xml:space="preserve">          6244 - SAFETY SUPPLY EXPENSE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/>
      <c r="Q74" s="3"/>
      <c r="R74" s="7">
        <f t="shared" si="12"/>
        <v>0</v>
      </c>
      <c r="S74" s="3"/>
      <c r="T74" s="8">
        <v>100</v>
      </c>
      <c r="U74" s="3"/>
      <c r="V74" s="7">
        <f t="shared" si="13"/>
        <v>2.1482461718253217E-4</v>
      </c>
      <c r="W74" s="3"/>
      <c r="X74" s="8">
        <f t="shared" si="14"/>
        <v>-100</v>
      </c>
      <c r="Y74" s="3"/>
      <c r="Z74" s="7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","6245"," - ","PRINTING")</f>
        <v xml:space="preserve">          6245 - PRINTING</v>
      </c>
      <c r="C75" s="12"/>
      <c r="D75" s="8"/>
      <c r="E75" s="3"/>
      <c r="F75" s="7">
        <f t="shared" si="8"/>
        <v>0</v>
      </c>
      <c r="G75" s="3"/>
      <c r="H75" s="8">
        <v>50</v>
      </c>
      <c r="I75" s="3"/>
      <c r="J75" s="7">
        <f t="shared" si="9"/>
        <v>2.9660740450724611E-4</v>
      </c>
      <c r="K75" s="3"/>
      <c r="L75" s="8">
        <f t="shared" si="10"/>
        <v>-50</v>
      </c>
      <c r="M75" s="3"/>
      <c r="N75" s="7">
        <f t="shared" si="11"/>
        <v>-1</v>
      </c>
      <c r="O75" s="12"/>
      <c r="P75" s="8">
        <v>338</v>
      </c>
      <c r="Q75" s="3"/>
      <c r="R75" s="7">
        <f t="shared" si="12"/>
        <v>0</v>
      </c>
      <c r="S75" s="3"/>
      <c r="T75" s="8">
        <v>800</v>
      </c>
      <c r="U75" s="3"/>
      <c r="V75" s="7">
        <f t="shared" si="13"/>
        <v>1.7185969374602574E-3</v>
      </c>
      <c r="W75" s="3"/>
      <c r="X75" s="8">
        <f t="shared" si="14"/>
        <v>-462</v>
      </c>
      <c r="Y75" s="3"/>
      <c r="Z75" s="7">
        <f t="shared" si="15"/>
        <v>-0.57750000000000001</v>
      </c>
    </row>
    <row r="76" spans="1:26" s="70" customFormat="1" ht="15" hidden="1" customHeight="1" outlineLevel="2" x14ac:dyDescent="0.3">
      <c r="A76" s="26"/>
      <c r="B76" s="12" t="str">
        <f>CONCATENATE("          ","6248"," - ","UNIFORMS")</f>
        <v xml:space="preserve">          6248 - UNIFORMS</v>
      </c>
      <c r="C76" s="12"/>
      <c r="D76" s="8"/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0</v>
      </c>
      <c r="M76" s="3"/>
      <c r="N76" s="7">
        <f t="shared" si="11"/>
        <v>0</v>
      </c>
      <c r="O76" s="12"/>
      <c r="P76" s="8"/>
      <c r="Q76" s="3"/>
      <c r="R76" s="7">
        <f t="shared" si="12"/>
        <v>0</v>
      </c>
      <c r="S76" s="3"/>
      <c r="T76" s="8">
        <v>1050</v>
      </c>
      <c r="U76" s="3"/>
      <c r="V76" s="7">
        <f t="shared" si="13"/>
        <v>2.2556584804165878E-3</v>
      </c>
      <c r="W76" s="3"/>
      <c r="X76" s="8">
        <f t="shared" si="14"/>
        <v>-1050</v>
      </c>
      <c r="Y76" s="3"/>
      <c r="Z76" s="7">
        <f t="shared" si="15"/>
        <v>-1</v>
      </c>
    </row>
    <row r="77" spans="1:26" s="69" customFormat="1" ht="15" customHeight="1" outlineLevel="1" collapsed="1" x14ac:dyDescent="0.3">
      <c r="A77" s="25"/>
      <c r="B77" s="14" t="str">
        <f>CONCATENATE("     ","Telephone/Data Lines                              ")</f>
        <v xml:space="preserve">     Telephone/Data Lines                              </v>
      </c>
      <c r="C77" s="14"/>
      <c r="D77" s="2">
        <f>SUM(OSRRefD22_12x_0)</f>
        <v>181.5</v>
      </c>
      <c r="E77" s="2"/>
      <c r="F77" s="6">
        <f t="shared" si="8"/>
        <v>0</v>
      </c>
      <c r="G77" s="2"/>
      <c r="H77" s="2">
        <f>SUM(OSRRefH22_12x_0)</f>
        <v>75</v>
      </c>
      <c r="I77" s="2"/>
      <c r="J77" s="6">
        <f t="shared" si="9"/>
        <v>4.4491110676086917E-4</v>
      </c>
      <c r="K77" s="2"/>
      <c r="L77" s="2">
        <f t="shared" si="10"/>
        <v>106.5</v>
      </c>
      <c r="M77" s="2"/>
      <c r="N77" s="6">
        <f t="shared" si="11"/>
        <v>1.42</v>
      </c>
      <c r="O77" s="14"/>
      <c r="P77" s="2">
        <f>SUM(OSRRefP22_12x_0)</f>
        <v>438</v>
      </c>
      <c r="Q77" s="2"/>
      <c r="R77" s="6">
        <f t="shared" si="12"/>
        <v>0</v>
      </c>
      <c r="S77" s="2"/>
      <c r="T77" s="2">
        <f>SUM(OSRRefT22_12x_0)</f>
        <v>1050</v>
      </c>
      <c r="U77" s="2"/>
      <c r="V77" s="6">
        <f t="shared" si="13"/>
        <v>2.2556584804165878E-3</v>
      </c>
      <c r="W77" s="2"/>
      <c r="X77" s="2">
        <f t="shared" si="14"/>
        <v>-612</v>
      </c>
      <c r="Y77" s="2"/>
      <c r="Z77" s="6">
        <f t="shared" si="15"/>
        <v>-0.58285714285714285</v>
      </c>
    </row>
    <row r="78" spans="1:26" s="70" customFormat="1" ht="15" hidden="1" customHeight="1" outlineLevel="2" x14ac:dyDescent="0.3">
      <c r="A78" s="26"/>
      <c r="B78" s="12" t="str">
        <f>CONCATENATE("          ","6303"," - ","DATA PHONE LINES")</f>
        <v xml:space="preserve">          6303 - DATA PHONE LINES</v>
      </c>
      <c r="C78" s="12"/>
      <c r="D78" s="8"/>
      <c r="E78" s="3"/>
      <c r="F78" s="7">
        <f t="shared" si="8"/>
        <v>0</v>
      </c>
      <c r="G78" s="3"/>
      <c r="H78" s="8">
        <v>75</v>
      </c>
      <c r="I78" s="3"/>
      <c r="J78" s="7">
        <f t="shared" si="9"/>
        <v>4.4491110676086917E-4</v>
      </c>
      <c r="K78" s="3"/>
      <c r="L78" s="8">
        <f t="shared" si="10"/>
        <v>-75</v>
      </c>
      <c r="M78" s="3"/>
      <c r="N78" s="7">
        <f t="shared" si="11"/>
        <v>-1</v>
      </c>
      <c r="O78" s="12"/>
      <c r="P78" s="8"/>
      <c r="Q78" s="3"/>
      <c r="R78" s="7">
        <f t="shared" si="12"/>
        <v>0</v>
      </c>
      <c r="S78" s="3"/>
      <c r="T78" s="8">
        <v>600</v>
      </c>
      <c r="U78" s="3"/>
      <c r="V78" s="7">
        <f t="shared" si="13"/>
        <v>1.2889477030951931E-3</v>
      </c>
      <c r="W78" s="3"/>
      <c r="X78" s="8">
        <f t="shared" si="14"/>
        <v>-600</v>
      </c>
      <c r="Y78" s="3"/>
      <c r="Z78" s="7">
        <f t="shared" si="15"/>
        <v>-1</v>
      </c>
    </row>
    <row r="79" spans="1:26" s="70" customFormat="1" ht="15" hidden="1" customHeight="1" outlineLevel="2" x14ac:dyDescent="0.3">
      <c r="A79" s="26"/>
      <c r="B79" s="12" t="str">
        <f>CONCATENATE("          ","6309"," - ","TELEPHONE")</f>
        <v xml:space="preserve">          6309 - TELEPHONE</v>
      </c>
      <c r="C79" s="12"/>
      <c r="D79" s="8">
        <v>181.5</v>
      </c>
      <c r="E79" s="3"/>
      <c r="F79" s="7">
        <f t="shared" si="8"/>
        <v>0</v>
      </c>
      <c r="G79" s="3"/>
      <c r="H79" s="8"/>
      <c r="I79" s="3"/>
      <c r="J79" s="7">
        <f t="shared" si="9"/>
        <v>0</v>
      </c>
      <c r="K79" s="3"/>
      <c r="L79" s="8">
        <f t="shared" si="10"/>
        <v>181.5</v>
      </c>
      <c r="M79" s="3"/>
      <c r="N79" s="7">
        <f t="shared" si="11"/>
        <v>0</v>
      </c>
      <c r="O79" s="12"/>
      <c r="P79" s="8">
        <v>438</v>
      </c>
      <c r="Q79" s="3"/>
      <c r="R79" s="7">
        <f t="shared" si="12"/>
        <v>0</v>
      </c>
      <c r="S79" s="3"/>
      <c r="T79" s="8">
        <v>450</v>
      </c>
      <c r="U79" s="3"/>
      <c r="V79" s="7">
        <f t="shared" si="13"/>
        <v>9.6671077732139483E-4</v>
      </c>
      <c r="W79" s="3"/>
      <c r="X79" s="8">
        <f t="shared" si="14"/>
        <v>-12</v>
      </c>
      <c r="Y79" s="3"/>
      <c r="Z79" s="7">
        <f t="shared" si="15"/>
        <v>-2.6666666666666668E-2</v>
      </c>
    </row>
    <row r="80" spans="1:26" s="69" customFormat="1" ht="15" customHeight="1" outlineLevel="1" collapsed="1" x14ac:dyDescent="0.3">
      <c r="A80" s="25"/>
      <c r="B80" s="14" t="str">
        <f>CONCATENATE("     ","Training                                          ")</f>
        <v xml:space="preserve">     Training                                          </v>
      </c>
      <c r="C80" s="14"/>
      <c r="D80" s="2">
        <f>SUM(OSRRefD22_13x_0)</f>
        <v>120</v>
      </c>
      <c r="E80" s="2"/>
      <c r="F80" s="6">
        <f t="shared" si="8"/>
        <v>0</v>
      </c>
      <c r="G80" s="2"/>
      <c r="H80" s="2">
        <f>SUM(OSRRefH22_13x_0)</f>
        <v>0</v>
      </c>
      <c r="I80" s="2"/>
      <c r="J80" s="6">
        <f t="shared" si="9"/>
        <v>0</v>
      </c>
      <c r="K80" s="2"/>
      <c r="L80" s="2">
        <f t="shared" si="10"/>
        <v>120</v>
      </c>
      <c r="M80" s="2"/>
      <c r="N80" s="6">
        <f t="shared" si="11"/>
        <v>0</v>
      </c>
      <c r="O80" s="14"/>
      <c r="P80" s="2">
        <f>SUM(OSRRefP22_13x_0)</f>
        <v>120</v>
      </c>
      <c r="Q80" s="2"/>
      <c r="R80" s="6">
        <f t="shared" si="12"/>
        <v>0</v>
      </c>
      <c r="S80" s="2"/>
      <c r="T80" s="2">
        <f>SUM(OSRRefT22_13x_0)</f>
        <v>400</v>
      </c>
      <c r="U80" s="2"/>
      <c r="V80" s="6">
        <f t="shared" si="13"/>
        <v>8.592984687301287E-4</v>
      </c>
      <c r="W80" s="2"/>
      <c r="X80" s="2">
        <f t="shared" si="14"/>
        <v>-280</v>
      </c>
      <c r="Y80" s="2"/>
      <c r="Z80" s="6">
        <f t="shared" si="15"/>
        <v>-0.7</v>
      </c>
    </row>
    <row r="81" spans="1:26" s="70" customFormat="1" ht="15" hidden="1" customHeight="1" outlineLevel="2" x14ac:dyDescent="0.3">
      <c r="A81" s="26"/>
      <c r="B81" s="12" t="str">
        <f>CONCATENATE("          ","6376"," - ","TRAINING")</f>
        <v xml:space="preserve">          6376 - TRAINING</v>
      </c>
      <c r="C81" s="12"/>
      <c r="D81" s="8">
        <v>120</v>
      </c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120</v>
      </c>
      <c r="M81" s="3"/>
      <c r="N81" s="7">
        <f t="shared" si="11"/>
        <v>0</v>
      </c>
      <c r="O81" s="12"/>
      <c r="P81" s="8">
        <v>120</v>
      </c>
      <c r="Q81" s="3"/>
      <c r="R81" s="7">
        <f t="shared" si="12"/>
        <v>0</v>
      </c>
      <c r="S81" s="3"/>
      <c r="T81" s="8">
        <v>400</v>
      </c>
      <c r="U81" s="3"/>
      <c r="V81" s="7">
        <f t="shared" si="13"/>
        <v>8.592984687301287E-4</v>
      </c>
      <c r="W81" s="3"/>
      <c r="X81" s="8">
        <f t="shared" si="14"/>
        <v>-280</v>
      </c>
      <c r="Y81" s="3"/>
      <c r="Z81" s="7">
        <f t="shared" si="15"/>
        <v>-0.7</v>
      </c>
    </row>
    <row r="82" spans="1:26" s="69" customFormat="1" ht="15" customHeight="1" outlineLevel="1" collapsed="1" x14ac:dyDescent="0.3">
      <c r="A82" s="25"/>
      <c r="B82" s="14" t="str">
        <f>CONCATENATE("     ","Utilities                                         ")</f>
        <v xml:space="preserve">     Utilities                                         </v>
      </c>
      <c r="C82" s="14"/>
      <c r="D82" s="2">
        <f>SUM(OSRRefD22_14x_0)</f>
        <v>0</v>
      </c>
      <c r="E82" s="2"/>
      <c r="F82" s="6">
        <f t="shared" si="8"/>
        <v>0</v>
      </c>
      <c r="G82" s="2"/>
      <c r="H82" s="2">
        <f>SUM(OSRRefH22_14x_0)</f>
        <v>500</v>
      </c>
      <c r="I82" s="2"/>
      <c r="J82" s="6">
        <f t="shared" si="9"/>
        <v>2.9660740450724614E-3</v>
      </c>
      <c r="K82" s="2"/>
      <c r="L82" s="2">
        <f t="shared" si="10"/>
        <v>-500</v>
      </c>
      <c r="M82" s="2"/>
      <c r="N82" s="6">
        <f t="shared" si="11"/>
        <v>-1</v>
      </c>
      <c r="O82" s="14"/>
      <c r="P82" s="2">
        <f>SUM(OSRRefP22_14x_0)</f>
        <v>0</v>
      </c>
      <c r="Q82" s="2"/>
      <c r="R82" s="6">
        <f t="shared" si="12"/>
        <v>0</v>
      </c>
      <c r="S82" s="2"/>
      <c r="T82" s="2">
        <f>SUM(OSRRefT22_14x_0)</f>
        <v>4000</v>
      </c>
      <c r="U82" s="2"/>
      <c r="V82" s="6">
        <f t="shared" si="13"/>
        <v>8.5929846873012868E-3</v>
      </c>
      <c r="W82" s="2"/>
      <c r="X82" s="2">
        <f t="shared" si="14"/>
        <v>-4000</v>
      </c>
      <c r="Y82" s="2"/>
      <c r="Z82" s="6">
        <f t="shared" si="15"/>
        <v>-1</v>
      </c>
    </row>
    <row r="83" spans="1:26" s="70" customFormat="1" ht="15" hidden="1" customHeight="1" outlineLevel="2" x14ac:dyDescent="0.3">
      <c r="A83" s="26"/>
      <c r="B83" s="12" t="str">
        <f>CONCATENATE("          ","6274"," - ","UTILITIES")</f>
        <v xml:space="preserve">          6274 - UTILITIES</v>
      </c>
      <c r="C83" s="12"/>
      <c r="D83" s="8"/>
      <c r="E83" s="3"/>
      <c r="F83" s="7">
        <f t="shared" si="8"/>
        <v>0</v>
      </c>
      <c r="G83" s="3"/>
      <c r="H83" s="8">
        <v>500</v>
      </c>
      <c r="I83" s="3"/>
      <c r="J83" s="7">
        <f t="shared" si="9"/>
        <v>2.9660740450724614E-3</v>
      </c>
      <c r="K83" s="3"/>
      <c r="L83" s="8">
        <f t="shared" si="10"/>
        <v>-500</v>
      </c>
      <c r="M83" s="3"/>
      <c r="N83" s="7">
        <f t="shared" si="11"/>
        <v>-1</v>
      </c>
      <c r="O83" s="12"/>
      <c r="P83" s="8"/>
      <c r="Q83" s="3"/>
      <c r="R83" s="7">
        <f t="shared" si="12"/>
        <v>0</v>
      </c>
      <c r="S83" s="3"/>
      <c r="T83" s="8">
        <v>4000</v>
      </c>
      <c r="U83" s="3"/>
      <c r="V83" s="7">
        <f t="shared" si="13"/>
        <v>8.5929846873012868E-3</v>
      </c>
      <c r="W83" s="3"/>
      <c r="X83" s="8">
        <f t="shared" si="14"/>
        <v>-4000</v>
      </c>
      <c r="Y83" s="3"/>
      <c r="Z83" s="7">
        <f t="shared" si="15"/>
        <v>-1</v>
      </c>
    </row>
    <row r="84" spans="1:26" s="65" customFormat="1" ht="15" customHeight="1" x14ac:dyDescent="0.3">
      <c r="A84" s="35"/>
      <c r="B84" s="35"/>
      <c r="C84" s="35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5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3" customFormat="1" ht="15" customHeight="1" collapsed="1" x14ac:dyDescent="0.3">
      <c r="A85" s="11"/>
      <c r="B85" s="27" t="s">
        <v>291</v>
      </c>
      <c r="C85" s="11"/>
      <c r="D85" s="5">
        <f>SUM(OSRRefD25x_0)</f>
        <v>0</v>
      </c>
      <c r="E85" s="5"/>
      <c r="F85" s="13">
        <f>IF(D$12=0,0,D85/D$12)</f>
        <v>0</v>
      </c>
      <c r="G85" s="5"/>
      <c r="H85" s="5">
        <f>SUM(OSRRefH25x_0)</f>
        <v>0</v>
      </c>
      <c r="I85" s="5"/>
      <c r="J85" s="13">
        <f>IF(H$12=0,0,H85/H$12)</f>
        <v>0</v>
      </c>
      <c r="K85" s="5"/>
      <c r="L85" s="5">
        <f>+D85-H85</f>
        <v>0</v>
      </c>
      <c r="M85" s="5"/>
      <c r="N85" s="13">
        <f>IF(H85=0,0,L85/H85)</f>
        <v>0</v>
      </c>
      <c r="O85" s="11"/>
      <c r="P85" s="5">
        <f>SUM(OSRRefP25x_0)</f>
        <v>341.5</v>
      </c>
      <c r="Q85" s="5"/>
      <c r="R85" s="13">
        <f>IF(P$12=0,0,P85/P$12)</f>
        <v>0</v>
      </c>
      <c r="S85" s="5"/>
      <c r="T85" s="5">
        <f>SUM(OSRRefT25x_0)</f>
        <v>0</v>
      </c>
      <c r="U85" s="5"/>
      <c r="V85" s="13">
        <f>IF(T$12=0,0,T85/T$12)</f>
        <v>0</v>
      </c>
      <c r="W85" s="5"/>
      <c r="X85" s="5">
        <f>+P85-T85</f>
        <v>341.5</v>
      </c>
      <c r="Y85" s="5"/>
      <c r="Z85" s="13">
        <f>IF(T85=0,0,X85/T85)</f>
        <v>0</v>
      </c>
    </row>
    <row r="86" spans="1:26" s="70" customFormat="1" ht="15" hidden="1" customHeight="1" outlineLevel="1" x14ac:dyDescent="0.3">
      <c r="A86" s="42"/>
      <c r="B86" s="12" t="str">
        <f>CONCATENATE("          ","9150"," - ","MISC. INCOME")</f>
        <v xml:space="preserve">          9150 - MISC. INCOME</v>
      </c>
      <c r="C86" s="12"/>
      <c r="D86" s="3">
        <f>0</f>
        <v>0</v>
      </c>
      <c r="E86" s="3"/>
      <c r="F86" s="20">
        <f>IF(D$12=0,0,D86/D$12)</f>
        <v>0</v>
      </c>
      <c r="G86" s="3"/>
      <c r="H86" s="3"/>
      <c r="I86" s="3"/>
      <c r="J86" s="20">
        <f>IF(H$12=0,0,H86/H$12)</f>
        <v>0</v>
      </c>
      <c r="K86" s="3"/>
      <c r="L86" s="3">
        <f>+D86-H86</f>
        <v>0</v>
      </c>
      <c r="M86" s="3"/>
      <c r="N86" s="20">
        <f>IF(H86=0,0,L86/H86)</f>
        <v>0</v>
      </c>
      <c r="O86" s="12"/>
      <c r="P86" s="3">
        <f>--341.5</f>
        <v>341.5</v>
      </c>
      <c r="Q86" s="3"/>
      <c r="R86" s="20">
        <f>IF(P$12=0,0,P86/P$12)</f>
        <v>0</v>
      </c>
      <c r="S86" s="3"/>
      <c r="T86" s="3"/>
      <c r="U86" s="3"/>
      <c r="V86" s="20">
        <f>IF(T$12=0,0,T86/T$12)</f>
        <v>0</v>
      </c>
      <c r="W86" s="3"/>
      <c r="X86" s="3">
        <f>+P86-T86</f>
        <v>341.5</v>
      </c>
      <c r="Y86" s="3"/>
      <c r="Z86" s="20">
        <f>IF(T86=0,0,X86/T86)</f>
        <v>0</v>
      </c>
    </row>
    <row r="87" spans="1:26" ht="15" customHeight="1" x14ac:dyDescent="0.3">
      <c r="A87" s="10"/>
      <c r="B87" s="11"/>
      <c r="C87" s="11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O87" s="11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11"/>
      <c r="B88" s="28" t="s">
        <v>292</v>
      </c>
      <c r="C88" s="28"/>
      <c r="D88" s="21">
        <f>+D20-D22+D85</f>
        <v>-17149.019999999997</v>
      </c>
      <c r="E88" s="15"/>
      <c r="F88" s="22">
        <f>IF(D$12=0,0,D88/D$12)</f>
        <v>0</v>
      </c>
      <c r="G88" s="15"/>
      <c r="H88" s="21">
        <f>+H20-H22+H85</f>
        <v>47260.99345381539</v>
      </c>
      <c r="I88" s="15"/>
      <c r="J88" s="22">
        <f>IF(H$12=0,0,H88/H$12)</f>
        <v>0.28035921205540265</v>
      </c>
      <c r="K88" s="16"/>
      <c r="L88" s="21">
        <f>+D88-H88</f>
        <v>-64410.013453815387</v>
      </c>
      <c r="M88" s="16"/>
      <c r="N88" s="22">
        <f>IF(H88=0,0,L88/H88)</f>
        <v>-1.3628577976626421</v>
      </c>
      <c r="O88" s="27"/>
      <c r="P88" s="21">
        <f>+P20-P22+P85</f>
        <v>-138301.09000000005</v>
      </c>
      <c r="Q88" s="15"/>
      <c r="R88" s="22">
        <f>IF(P$12=0,0,P88/P$12)</f>
        <v>0</v>
      </c>
      <c r="S88" s="15"/>
      <c r="T88" s="21">
        <f>+T20-T22+T85</f>
        <v>-36570.403509126103</v>
      </c>
      <c r="U88" s="15"/>
      <c r="V88" s="22">
        <f>IF(T$12=0,0,T88/T$12)</f>
        <v>-7.8562229340587472E-2</v>
      </c>
      <c r="W88" s="16"/>
      <c r="X88" s="21">
        <f>+P88-T88</f>
        <v>-101730.68649087395</v>
      </c>
      <c r="Y88" s="16"/>
      <c r="Z88" s="22">
        <f>IF(T88=0,0,X88/T88)</f>
        <v>2.7817764292780409</v>
      </c>
    </row>
    <row r="89" spans="1:26" ht="15" customHeight="1" x14ac:dyDescent="0.3">
      <c r="A89" s="10"/>
      <c r="B89" s="11"/>
      <c r="C89" s="10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49"/>
      <c r="B90" s="11" t="s">
        <v>293</v>
      </c>
      <c r="C90" s="11"/>
      <c r="D90" s="5"/>
      <c r="E90" s="5"/>
      <c r="F90" s="13">
        <f>IF(D$12=0,0,D90/D$12)</f>
        <v>0</v>
      </c>
      <c r="G90" s="5"/>
      <c r="H90" s="5">
        <v>19702</v>
      </c>
      <c r="I90" s="5"/>
      <c r="J90" s="13">
        <f>IF(H$12=0,0,H90/H$12)</f>
        <v>0.11687518167203526</v>
      </c>
      <c r="K90" s="5"/>
      <c r="L90" s="5">
        <f>+D90-H90</f>
        <v>-19702</v>
      </c>
      <c r="M90" s="5"/>
      <c r="N90" s="13">
        <f>IF(H90=0,0,L90/H90)</f>
        <v>-1</v>
      </c>
      <c r="O90" s="11"/>
      <c r="P90" s="5"/>
      <c r="Q90" s="5"/>
      <c r="R90" s="13">
        <f>IF(P$12=0,0,P90/P$12)</f>
        <v>0</v>
      </c>
      <c r="S90" s="5"/>
      <c r="T90" s="5">
        <v>56905</v>
      </c>
      <c r="U90" s="5"/>
      <c r="V90" s="13">
        <f>IF(T$12=0,0,T90/T$12)</f>
        <v>0.12224594840771993</v>
      </c>
      <c r="W90" s="5"/>
      <c r="X90" s="5">
        <f>+P90-T90</f>
        <v>-56905</v>
      </c>
      <c r="Y90" s="5"/>
      <c r="Z90" s="13">
        <f>IF(T90=0,0,X90/T90)</f>
        <v>-1</v>
      </c>
    </row>
    <row r="91" spans="1:26" ht="15" customHeight="1" x14ac:dyDescent="0.3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11"/>
      <c r="B92" s="28" t="s">
        <v>294</v>
      </c>
      <c r="C92" s="28"/>
      <c r="D92" s="33">
        <f>+D88-D90</f>
        <v>-17149.019999999997</v>
      </c>
      <c r="E92" s="15"/>
      <c r="F92" s="32">
        <f>IF(D$12=0,0,D92/D$12)</f>
        <v>0</v>
      </c>
      <c r="G92" s="15"/>
      <c r="H92" s="33">
        <f>+H88-H90</f>
        <v>27558.99345381539</v>
      </c>
      <c r="I92" s="15"/>
      <c r="J92" s="32">
        <f>IF(H$12=0,0,H92/H$12)</f>
        <v>0.1634840303833674</v>
      </c>
      <c r="K92" s="16"/>
      <c r="L92" s="33">
        <f>D92-H92</f>
        <v>-44708.013453815387</v>
      </c>
      <c r="M92" s="16"/>
      <c r="N92" s="32">
        <f>IF(H92=0,0,L92/H92)</f>
        <v>-1.6222658323403247</v>
      </c>
      <c r="O92" s="27"/>
      <c r="P92" s="33">
        <f>+P88-P90</f>
        <v>-138301.09000000005</v>
      </c>
      <c r="Q92" s="15"/>
      <c r="R92" s="32">
        <f>IF(P$12=0,0,P92/P$12)</f>
        <v>0</v>
      </c>
      <c r="S92" s="15"/>
      <c r="T92" s="33">
        <f>+T88-T90</f>
        <v>-93475.403509126103</v>
      </c>
      <c r="U92" s="15"/>
      <c r="V92" s="32">
        <f>IF(T$12=0,0,T92/T$12)</f>
        <v>-0.20080817774830739</v>
      </c>
      <c r="W92" s="16"/>
      <c r="X92" s="33">
        <f>P92-T92</f>
        <v>-44825.686490873952</v>
      </c>
      <c r="Y92" s="16"/>
      <c r="Z92" s="32">
        <f>IF(T92=0,0,X92/T92)</f>
        <v>0.47954525798326797</v>
      </c>
    </row>
    <row r="93" spans="1:26" ht="15" customHeight="1" x14ac:dyDescent="0.3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ht="15" customHeight="1" x14ac:dyDescent="0.3">
      <c r="A94" s="10"/>
      <c r="B94" s="10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11"/>
      <c r="B95" s="28" t="s">
        <v>297</v>
      </c>
      <c r="C95" s="28"/>
      <c r="D95" s="34">
        <f>SUM(D92:D94)</f>
        <v>-17149.019999999997</v>
      </c>
      <c r="E95" s="15"/>
      <c r="F95" s="30">
        <f>IF(D$12=0,0,D95/D$12)</f>
        <v>0</v>
      </c>
      <c r="G95" s="15"/>
      <c r="H95" s="34">
        <f>SUM(H92:H94)</f>
        <v>27558.99345381539</v>
      </c>
      <c r="I95" s="15"/>
      <c r="J95" s="30">
        <f>IF(H$12=0,0,H95/H$12)</f>
        <v>0.1634840303833674</v>
      </c>
      <c r="K95" s="16"/>
      <c r="L95" s="34">
        <f>+D95-H95</f>
        <v>-44708.013453815387</v>
      </c>
      <c r="M95" s="16"/>
      <c r="N95" s="30">
        <f>IF(H95=0,0,L95/H95)</f>
        <v>-1.6222658323403247</v>
      </c>
      <c r="O95" s="27"/>
      <c r="P95" s="34">
        <f>SUM(P92:P94)</f>
        <v>-138301.09000000005</v>
      </c>
      <c r="Q95" s="15"/>
      <c r="R95" s="30">
        <f>IF(P$12=0,0,P95/P$12)</f>
        <v>0</v>
      </c>
      <c r="S95" s="15"/>
      <c r="T95" s="34">
        <f>SUM(T92:T94)</f>
        <v>-93475.403509126103</v>
      </c>
      <c r="U95" s="15"/>
      <c r="V95" s="30">
        <f>IF(T$12=0,0,T95/T$12)</f>
        <v>-0.20080817774830739</v>
      </c>
      <c r="W95" s="16"/>
      <c r="X95" s="34">
        <f>+P95-T95</f>
        <v>-44825.686490873952</v>
      </c>
      <c r="Y95" s="16"/>
      <c r="Z95" s="30">
        <f>IF(T95=0,0,X95/T95)</f>
        <v>0.47954525798326797</v>
      </c>
    </row>
    <row r="96" spans="1:26" ht="15" customHeight="1" x14ac:dyDescent="0.3">
      <c r="A96" s="10"/>
      <c r="C96" s="10"/>
      <c r="D96" s="19"/>
      <c r="E96" s="19"/>
      <c r="G96" s="19"/>
      <c r="H96" s="19"/>
      <c r="I96" s="19"/>
      <c r="J96" s="41"/>
      <c r="K96" s="19"/>
      <c r="L96" s="19"/>
      <c r="M96" s="19"/>
      <c r="P96" s="19"/>
      <c r="Q96" s="19"/>
      <c r="R96" s="41"/>
      <c r="S96" s="19"/>
      <c r="T96" s="19"/>
      <c r="U96" s="19"/>
      <c r="V96" s="41"/>
      <c r="W96" s="19"/>
      <c r="X96" s="19"/>
    </row>
    <row r="97" spans="1:24" ht="15" customHeight="1" x14ac:dyDescent="0.3">
      <c r="A97" s="10"/>
      <c r="B97" s="57">
        <v>44634.883430555557</v>
      </c>
      <c r="D97" s="19"/>
      <c r="E97" s="19"/>
      <c r="G97" s="19"/>
      <c r="H97" s="19"/>
      <c r="I97" s="19"/>
      <c r="J97" s="41"/>
      <c r="K97" s="19"/>
      <c r="L97" s="19"/>
      <c r="M97" s="19"/>
      <c r="P97" s="19"/>
      <c r="Q97" s="19"/>
      <c r="R97" s="41"/>
      <c r="S97" s="19"/>
      <c r="T97" s="19"/>
      <c r="U97" s="19"/>
      <c r="V97" s="41"/>
      <c r="W97" s="19"/>
      <c r="X97" s="19"/>
    </row>
    <row r="98" spans="1:24" ht="15" customHeight="1" x14ac:dyDescent="0.3">
      <c r="A98" s="10"/>
      <c r="B98" s="56" t="s">
        <v>298</v>
      </c>
      <c r="D98" s="19"/>
      <c r="E98" s="19"/>
      <c r="G98" s="19"/>
      <c r="H98" s="19"/>
      <c r="I98" s="19"/>
      <c r="J98" s="41"/>
      <c r="K98" s="19"/>
      <c r="L98" s="19"/>
      <c r="M98" s="19"/>
      <c r="P98" s="19"/>
      <c r="Q98" s="19"/>
      <c r="R98" s="41"/>
      <c r="S98" s="19"/>
      <c r="T98" s="19"/>
      <c r="U98" s="19"/>
      <c r="V98" s="41"/>
      <c r="W98" s="19"/>
      <c r="X98" s="19"/>
    </row>
    <row r="99" spans="1:24" ht="15" customHeight="1" x14ac:dyDescent="0.3">
      <c r="A99" s="10"/>
      <c r="B99" s="54"/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4" ht="15" customHeight="1" x14ac:dyDescent="0.3"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22EF2-E17A-3E35-7A91-FE9913077144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300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9633-E706-BEFE-3FA8-081DE89ED846}">
  <sheetPr>
    <tabColor rgb="FF92D050"/>
    <outlinePr summaryBelow="0" summaryRight="0"/>
  </sheetPr>
  <dimension ref="A2:Z6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","423"," - ","Contract/Vending Revenue")</f>
        <v>Department 423 - Contract/Vending Revenue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51.41</v>
      </c>
      <c r="E18" s="23"/>
      <c r="F18" s="29">
        <f t="shared" ref="F18:F46" si="0">IF(D$12=0,0,D18/D$12)</f>
        <v>0</v>
      </c>
      <c r="G18" s="23"/>
      <c r="H18" s="23" cm="1">
        <f t="array" ref="H18">SUM(OSRRefH22x_0)</f>
        <v>0</v>
      </c>
      <c r="I18" s="23"/>
      <c r="J18" s="29">
        <f t="shared" ref="J18:J46" si="1">IF(H$12=0,0,H18/H$12)</f>
        <v>0</v>
      </c>
      <c r="K18" s="5"/>
      <c r="L18" s="23">
        <f t="shared" ref="L18:L46" si="2">+D18-H18</f>
        <v>51.41</v>
      </c>
      <c r="M18" s="5"/>
      <c r="N18" s="29">
        <f t="shared" ref="N18:N46" si="3">IF(H18=0,0,L18/H18)</f>
        <v>0</v>
      </c>
      <c r="O18" s="11"/>
      <c r="P18" s="23" cm="1">
        <f t="array" ref="P18">SUM(OSRRefP22x_0)</f>
        <v>8825.64</v>
      </c>
      <c r="Q18" s="23"/>
      <c r="R18" s="29">
        <f t="shared" ref="R18:R46" si="4">IF(P$12=0,0,P18/P$12)</f>
        <v>0</v>
      </c>
      <c r="S18" s="23"/>
      <c r="T18" s="23" cm="1">
        <f t="array" ref="T18">SUM(OSRRefT22x_0)</f>
        <v>0</v>
      </c>
      <c r="U18" s="23"/>
      <c r="V18" s="29">
        <f t="shared" ref="V18:V46" si="5">IF(T$12=0,0,T18/T$12)</f>
        <v>0</v>
      </c>
      <c r="W18" s="5"/>
      <c r="X18" s="23">
        <f t="shared" ref="X18:X46" si="6">+P18-T18</f>
        <v>8825.64</v>
      </c>
      <c r="Y18" s="5"/>
      <c r="Z18" s="29">
        <f t="shared" ref="Z18:Z46" si="7"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>
        <v>0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0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/>
      <c r="E21" s="3"/>
      <c r="F21" s="7">
        <f t="shared" si="0"/>
        <v>0</v>
      </c>
      <c r="G21" s="3"/>
      <c r="H21" s="8">
        <v>0</v>
      </c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0</v>
      </c>
      <c r="U21" s="3"/>
      <c r="V21" s="7">
        <f t="shared" si="5"/>
        <v>0</v>
      </c>
      <c r="W21" s="3"/>
      <c r="X21" s="8">
        <f t="shared" si="6"/>
        <v>0</v>
      </c>
      <c r="Y21" s="3"/>
      <c r="Z21" s="7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>
        <v>0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/>
      <c r="E23" s="3"/>
      <c r="F23" s="7">
        <f t="shared" si="0"/>
        <v>0</v>
      </c>
      <c r="G23" s="3"/>
      <c r="H23" s="8">
        <v>0</v>
      </c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0</v>
      </c>
      <c r="U23" s="3"/>
      <c r="V23" s="7">
        <f t="shared" si="5"/>
        <v>0</v>
      </c>
      <c r="W23" s="3"/>
      <c r="X23" s="8">
        <f t="shared" si="6"/>
        <v>0</v>
      </c>
      <c r="Y23" s="3"/>
      <c r="Z23" s="7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/>
      <c r="E27" s="3"/>
      <c r="F27" s="7">
        <f t="shared" si="0"/>
        <v>0</v>
      </c>
      <c r="G27" s="3"/>
      <c r="H27" s="8">
        <v>0</v>
      </c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0</v>
      </c>
      <c r="U27" s="3"/>
      <c r="V27" s="7">
        <f t="shared" si="5"/>
        <v>0</v>
      </c>
      <c r="W27" s="3"/>
      <c r="X27" s="8">
        <f t="shared" si="6"/>
        <v>0</v>
      </c>
      <c r="Y27" s="3"/>
      <c r="Z27" s="7">
        <f t="shared" si="7"/>
        <v>0</v>
      </c>
    </row>
    <row r="28" spans="1:26" s="69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0</v>
      </c>
      <c r="E28" s="2"/>
      <c r="F28" s="6">
        <f t="shared" si="0"/>
        <v>0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0</v>
      </c>
      <c r="M28" s="2"/>
      <c r="N28" s="6">
        <f t="shared" si="3"/>
        <v>0</v>
      </c>
      <c r="O28" s="14"/>
      <c r="P28" s="2">
        <f>SUM(OSRRefP22_1x_0)</f>
        <v>0</v>
      </c>
      <c r="Q28" s="2"/>
      <c r="R28" s="6">
        <f t="shared" si="4"/>
        <v>0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0</v>
      </c>
      <c r="Y28" s="2"/>
      <c r="Z28" s="6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8"/>
      <c r="E29" s="3"/>
      <c r="F29" s="7">
        <f t="shared" si="0"/>
        <v>0</v>
      </c>
      <c r="G29" s="3"/>
      <c r="H29" s="8">
        <v>0</v>
      </c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0</v>
      </c>
      <c r="U29" s="3"/>
      <c r="V29" s="7">
        <f t="shared" si="5"/>
        <v>0</v>
      </c>
      <c r="W29" s="3"/>
      <c r="X29" s="8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","6003"," - ","STAFF HOURLY-9 MONTH")</f>
        <v xml:space="preserve">          6003 - STAFF HOURLY-9 MONTH</v>
      </c>
      <c r="C31" s="12"/>
      <c r="D31" s="8"/>
      <c r="E31" s="3"/>
      <c r="F31" s="7">
        <f t="shared" si="0"/>
        <v>0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","6004"," - ","STAFF HOURLY")</f>
        <v xml:space="preserve">          6004 - STAFF HOURLY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","6005"," - ","TEMPORARY WAGES-HOURLY")</f>
        <v xml:space="preserve">          6005 - TEMPORARY WAGES-HOURLY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","6006"," - ","TEMPORARY PART TIME")</f>
        <v xml:space="preserve">          6006 - TEMPORARY PART TIME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","6009"," - ","TEMPORARY-SEASONAL")</f>
        <v xml:space="preserve">          6009 - TEMPORARY-SEASONAL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","6010"," - ","GRATUITY")</f>
        <v xml:space="preserve">          6010 - GRATUITY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69" customFormat="1" ht="15" customHeight="1" outlineLevel="1" collapsed="1" x14ac:dyDescent="0.3">
      <c r="A39" s="25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SUM(OSRRefD22_2x_0)</f>
        <v>0</v>
      </c>
      <c r="E39" s="2"/>
      <c r="F39" s="6">
        <f t="shared" si="0"/>
        <v>0</v>
      </c>
      <c r="G39" s="2"/>
      <c r="H39" s="2">
        <f>SUM(OSRRefH22_2x_0)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SUM(OSRRefP22_2x_0)</f>
        <v>7816.11</v>
      </c>
      <c r="Q39" s="2"/>
      <c r="R39" s="6">
        <f t="shared" si="4"/>
        <v>0</v>
      </c>
      <c r="S39" s="2"/>
      <c r="T39" s="2">
        <f>SUM(OSRRefT22_2x_0)</f>
        <v>0</v>
      </c>
      <c r="U39" s="2"/>
      <c r="V39" s="6">
        <f t="shared" si="5"/>
        <v>0</v>
      </c>
      <c r="W39" s="2"/>
      <c r="X39" s="2">
        <f t="shared" si="6"/>
        <v>7816.11</v>
      </c>
      <c r="Y39" s="2"/>
      <c r="Z39" s="6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","6279"," - ","GENERAL EXPENSE")</f>
        <v xml:space="preserve">          6279 - GENERAL EXPENSE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7816.11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7816.11</v>
      </c>
      <c r="Y40" s="3"/>
      <c r="Z40" s="7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","Services                                          ")</f>
        <v xml:space="preserve">     Services                                          </v>
      </c>
      <c r="C41" s="14"/>
      <c r="D41" s="2">
        <f>SUM(OSRRefD22_3x_0)</f>
        <v>0</v>
      </c>
      <c r="E41" s="2"/>
      <c r="F41" s="6">
        <f t="shared" si="0"/>
        <v>0</v>
      </c>
      <c r="G41" s="2"/>
      <c r="H41" s="2">
        <f>SUM(OSRRefH22_3x_0)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SUM(OSRRefP22_3x_0)</f>
        <v>0</v>
      </c>
      <c r="Q41" s="2"/>
      <c r="R41" s="6">
        <f t="shared" si="4"/>
        <v>0</v>
      </c>
      <c r="S41" s="2"/>
      <c r="T41" s="2">
        <f>SUM(OSRRefT22_3x_0)</f>
        <v>0</v>
      </c>
      <c r="U41" s="2"/>
      <c r="V41" s="6">
        <f t="shared" si="5"/>
        <v>0</v>
      </c>
      <c r="W41" s="2"/>
      <c r="X41" s="2">
        <f t="shared" si="6"/>
        <v>0</v>
      </c>
      <c r="Y41" s="2"/>
      <c r="Z41" s="6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","6284"," - ","TRASH REMOVAL EXPENSE")</f>
        <v xml:space="preserve">          6284 - TRASH REMOVAL EXPENSE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69" customFormat="1" ht="15" customHeight="1" outlineLevel="1" collapsed="1" x14ac:dyDescent="0.3">
      <c r="A43" s="25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SUM(OSRRefD22_4x_0)</f>
        <v>15.41</v>
      </c>
      <c r="E43" s="2"/>
      <c r="F43" s="6">
        <f t="shared" si="0"/>
        <v>0</v>
      </c>
      <c r="G43" s="2"/>
      <c r="H43" s="2">
        <f>SUM(OSRRefH22_4x_0)</f>
        <v>0</v>
      </c>
      <c r="I43" s="2"/>
      <c r="J43" s="6">
        <f t="shared" si="1"/>
        <v>0</v>
      </c>
      <c r="K43" s="2"/>
      <c r="L43" s="2">
        <f t="shared" si="2"/>
        <v>15.41</v>
      </c>
      <c r="M43" s="2"/>
      <c r="N43" s="6">
        <f t="shared" si="3"/>
        <v>0</v>
      </c>
      <c r="O43" s="14"/>
      <c r="P43" s="2">
        <f>SUM(OSRRefP22_4x_0)</f>
        <v>564.03</v>
      </c>
      <c r="Q43" s="2"/>
      <c r="R43" s="6">
        <f t="shared" si="4"/>
        <v>0</v>
      </c>
      <c r="S43" s="2"/>
      <c r="T43" s="2">
        <f>SUM(OSRRefT22_4x_0)</f>
        <v>0</v>
      </c>
      <c r="U43" s="2"/>
      <c r="V43" s="6">
        <f t="shared" si="5"/>
        <v>0</v>
      </c>
      <c r="W43" s="2"/>
      <c r="X43" s="2">
        <f t="shared" si="6"/>
        <v>564.03</v>
      </c>
      <c r="Y43" s="2"/>
      <c r="Z43" s="6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","6241"," - ","OFFICE EXPENSE")</f>
        <v xml:space="preserve">          6241 - OFFICE EXPENSE</v>
      </c>
      <c r="C44" s="12"/>
      <c r="D44" s="8">
        <v>15.41</v>
      </c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15.41</v>
      </c>
      <c r="M44" s="3"/>
      <c r="N44" s="7">
        <f t="shared" si="3"/>
        <v>0</v>
      </c>
      <c r="O44" s="12"/>
      <c r="P44" s="8">
        <v>564.03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564.03</v>
      </c>
      <c r="Y44" s="3"/>
      <c r="Z44" s="7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SUM(OSRRefD22_5x_0)</f>
        <v>36</v>
      </c>
      <c r="E45" s="2"/>
      <c r="F45" s="6">
        <f t="shared" si="0"/>
        <v>0</v>
      </c>
      <c r="G45" s="2"/>
      <c r="H45" s="2">
        <f>SUM(OSRRefH22_5x_0)</f>
        <v>0</v>
      </c>
      <c r="I45" s="2"/>
      <c r="J45" s="6">
        <f t="shared" si="1"/>
        <v>0</v>
      </c>
      <c r="K45" s="2"/>
      <c r="L45" s="2">
        <f t="shared" si="2"/>
        <v>36</v>
      </c>
      <c r="M45" s="2"/>
      <c r="N45" s="6">
        <f t="shared" si="3"/>
        <v>0</v>
      </c>
      <c r="O45" s="14"/>
      <c r="P45" s="2">
        <f>SUM(OSRRefP22_5x_0)</f>
        <v>445.5</v>
      </c>
      <c r="Q45" s="2"/>
      <c r="R45" s="6">
        <f t="shared" si="4"/>
        <v>0</v>
      </c>
      <c r="S45" s="2"/>
      <c r="T45" s="2">
        <f>SUM(OSRRefT22_5x_0)</f>
        <v>0</v>
      </c>
      <c r="U45" s="2"/>
      <c r="V45" s="6">
        <f t="shared" si="5"/>
        <v>0</v>
      </c>
      <c r="W45" s="2"/>
      <c r="X45" s="2">
        <f t="shared" si="6"/>
        <v>445.5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","6309"," - ","TELEPHONE")</f>
        <v xml:space="preserve">          6309 - TELEPHONE</v>
      </c>
      <c r="C46" s="12"/>
      <c r="D46" s="8">
        <v>36</v>
      </c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36</v>
      </c>
      <c r="M46" s="3"/>
      <c r="N46" s="7">
        <f t="shared" si="3"/>
        <v>0</v>
      </c>
      <c r="O46" s="12"/>
      <c r="P46" s="8">
        <v>445.5</v>
      </c>
      <c r="Q46" s="3"/>
      <c r="R46" s="7">
        <f t="shared" si="4"/>
        <v>0</v>
      </c>
      <c r="S46" s="3"/>
      <c r="T46" s="8"/>
      <c r="U46" s="3"/>
      <c r="V46" s="7">
        <f t="shared" si="5"/>
        <v>0</v>
      </c>
      <c r="W46" s="3"/>
      <c r="X46" s="8">
        <f t="shared" si="6"/>
        <v>445.5</v>
      </c>
      <c r="Y46" s="3"/>
      <c r="Z46" s="7">
        <f t="shared" si="7"/>
        <v>0</v>
      </c>
    </row>
    <row r="47" spans="1:26" s="65" customFormat="1" ht="15" customHeight="1" x14ac:dyDescent="0.3">
      <c r="A47" s="35"/>
      <c r="B47" s="35"/>
      <c r="C47" s="35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5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3" customFormat="1" ht="15" customHeight="1" collapsed="1" x14ac:dyDescent="0.3">
      <c r="A48" s="11"/>
      <c r="B48" s="27" t="s">
        <v>291</v>
      </c>
      <c r="C48" s="11"/>
      <c r="D48" s="5">
        <f>SUM(OSRRefD25x_0)</f>
        <v>2069.92</v>
      </c>
      <c r="E48" s="5"/>
      <c r="F48" s="13">
        <f>IF(D$12=0,0,D48/D$12)</f>
        <v>0</v>
      </c>
      <c r="G48" s="5"/>
      <c r="H48" s="5">
        <f>SUM(OSRRefH25x_0)</f>
        <v>37154.720000000001</v>
      </c>
      <c r="I48" s="5"/>
      <c r="J48" s="13">
        <f>IF(H$12=0,0,H48/H$12)</f>
        <v>0</v>
      </c>
      <c r="K48" s="5"/>
      <c r="L48" s="5">
        <f>+D48-H48</f>
        <v>-35084.800000000003</v>
      </c>
      <c r="M48" s="5"/>
      <c r="N48" s="13">
        <f>IF(H48=0,0,L48/H48)</f>
        <v>-0.9442891777949074</v>
      </c>
      <c r="O48" s="11"/>
      <c r="P48" s="5">
        <f>SUM(OSRRefP25x_0)</f>
        <v>128098.77</v>
      </c>
      <c r="Q48" s="5"/>
      <c r="R48" s="13">
        <f>IF(P$12=0,0,P48/P$12)</f>
        <v>0</v>
      </c>
      <c r="S48" s="5"/>
      <c r="T48" s="5">
        <f>SUM(OSRRefT25x_0)</f>
        <v>84373.31</v>
      </c>
      <c r="U48" s="5"/>
      <c r="V48" s="13">
        <f>IF(T$12=0,0,T48/T$12)</f>
        <v>0</v>
      </c>
      <c r="W48" s="5"/>
      <c r="X48" s="5">
        <f>+P48-T48</f>
        <v>43725.460000000006</v>
      </c>
      <c r="Y48" s="5"/>
      <c r="Z48" s="13">
        <f>IF(T48=0,0,X48/T48)</f>
        <v>0.51823805419035962</v>
      </c>
    </row>
    <row r="49" spans="1:26" s="70" customFormat="1" ht="15" hidden="1" customHeight="1" outlineLevel="1" x14ac:dyDescent="0.3">
      <c r="A49" s="42"/>
      <c r="B49" s="12" t="str">
        <f>CONCATENATE("          ","9150"," - ","MISC. INCOME")</f>
        <v xml:space="preserve">          9150 - MISC. INCOME</v>
      </c>
      <c r="C49" s="12"/>
      <c r="D49" s="3">
        <f>--2069.92</f>
        <v>2069.92</v>
      </c>
      <c r="E49" s="3"/>
      <c r="F49" s="20">
        <f>IF(D$12=0,0,D49/D$12)</f>
        <v>0</v>
      </c>
      <c r="G49" s="3"/>
      <c r="H49" s="3"/>
      <c r="I49" s="3"/>
      <c r="J49" s="20">
        <f>IF(H$12=0,0,H49/H$12)</f>
        <v>0</v>
      </c>
      <c r="K49" s="3"/>
      <c r="L49" s="3">
        <f>+D49-H49</f>
        <v>2069.92</v>
      </c>
      <c r="M49" s="3"/>
      <c r="N49" s="20">
        <f>IF(H49=0,0,L49/H49)</f>
        <v>0</v>
      </c>
      <c r="O49" s="12"/>
      <c r="P49" s="3">
        <f>--128098.77</f>
        <v>128098.77</v>
      </c>
      <c r="Q49" s="3"/>
      <c r="R49" s="20">
        <f>IF(P$12=0,0,P49/P$12)</f>
        <v>0</v>
      </c>
      <c r="S49" s="3"/>
      <c r="T49" s="3">
        <v>1000</v>
      </c>
      <c r="U49" s="3"/>
      <c r="V49" s="20">
        <f>IF(T$12=0,0,T49/T$12)</f>
        <v>0</v>
      </c>
      <c r="W49" s="3"/>
      <c r="X49" s="3">
        <f>+P49-T49</f>
        <v>127098.77</v>
      </c>
      <c r="Y49" s="3"/>
      <c r="Z49" s="20">
        <f>IF(T49=0,0,X49/T49)</f>
        <v>127.09877</v>
      </c>
    </row>
    <row r="50" spans="1:26" s="70" customFormat="1" ht="15" hidden="1" customHeight="1" outlineLevel="1" x14ac:dyDescent="0.3">
      <c r="A50" s="42"/>
      <c r="B50" s="12" t="str">
        <f>CONCATENATE("          ","9151"," - ","MISC. INCOME")</f>
        <v xml:space="preserve">          9151 - MISC. INCOME</v>
      </c>
      <c r="C50" s="12"/>
      <c r="D50" s="3">
        <f>0</f>
        <v>0</v>
      </c>
      <c r="E50" s="3"/>
      <c r="F50" s="20">
        <f>IF(D$12=0,0,D50/D$12)</f>
        <v>0</v>
      </c>
      <c r="G50" s="3"/>
      <c r="H50" s="3">
        <v>16640.22</v>
      </c>
      <c r="I50" s="3"/>
      <c r="J50" s="20">
        <f>IF(H$12=0,0,H50/H$12)</f>
        <v>0</v>
      </c>
      <c r="K50" s="3"/>
      <c r="L50" s="3">
        <f>+D50-H50</f>
        <v>-16640.22</v>
      </c>
      <c r="M50" s="3"/>
      <c r="N50" s="20">
        <f>IF(H50=0,0,L50/H50)</f>
        <v>-1</v>
      </c>
      <c r="O50" s="12"/>
      <c r="P50" s="3">
        <f>0</f>
        <v>0</v>
      </c>
      <c r="Q50" s="3"/>
      <c r="R50" s="20">
        <f>IF(P$12=0,0,P50/P$12)</f>
        <v>0</v>
      </c>
      <c r="S50" s="3"/>
      <c r="T50" s="3">
        <v>32892.22</v>
      </c>
      <c r="U50" s="3"/>
      <c r="V50" s="20">
        <f>IF(T$12=0,0,T50/T$12)</f>
        <v>0</v>
      </c>
      <c r="W50" s="3"/>
      <c r="X50" s="3">
        <f>+P50-T50</f>
        <v>-32892.22</v>
      </c>
      <c r="Y50" s="3"/>
      <c r="Z50" s="20">
        <f>IF(T50=0,0,X50/T50)</f>
        <v>-1</v>
      </c>
    </row>
    <row r="51" spans="1:26" s="70" customFormat="1" ht="15" hidden="1" customHeight="1" outlineLevel="1" x14ac:dyDescent="0.3">
      <c r="A51" s="42"/>
      <c r="B51" s="12" t="str">
        <f>CONCATENATE("          ","9160"," - ","MISC. INCOME")</f>
        <v xml:space="preserve">          9160 - MISC. INCOME</v>
      </c>
      <c r="C51" s="12"/>
      <c r="D51" s="3">
        <f>0</f>
        <v>0</v>
      </c>
      <c r="E51" s="3"/>
      <c r="F51" s="20">
        <f>IF(D$12=0,0,D51/D$12)</f>
        <v>0</v>
      </c>
      <c r="G51" s="3"/>
      <c r="H51" s="3">
        <v>20514.5</v>
      </c>
      <c r="I51" s="3"/>
      <c r="J51" s="20">
        <f>IF(H$12=0,0,H51/H$12)</f>
        <v>0</v>
      </c>
      <c r="K51" s="3"/>
      <c r="L51" s="3">
        <f>+D51-H51</f>
        <v>-20514.5</v>
      </c>
      <c r="M51" s="3"/>
      <c r="N51" s="20">
        <f>IF(H51=0,0,L51/H51)</f>
        <v>-1</v>
      </c>
      <c r="O51" s="12"/>
      <c r="P51" s="3">
        <f>0</f>
        <v>0</v>
      </c>
      <c r="Q51" s="3"/>
      <c r="R51" s="20">
        <f>IF(P$12=0,0,P51/P$12)</f>
        <v>0</v>
      </c>
      <c r="S51" s="3"/>
      <c r="T51" s="3">
        <v>50481.09</v>
      </c>
      <c r="U51" s="3"/>
      <c r="V51" s="20">
        <f>IF(T$12=0,0,T51/T$12)</f>
        <v>0</v>
      </c>
      <c r="W51" s="3"/>
      <c r="X51" s="3">
        <f>+P51-T51</f>
        <v>-50481.09</v>
      </c>
      <c r="Y51" s="3"/>
      <c r="Z51" s="20">
        <f>IF(T51=0,0,X51/T51)</f>
        <v>-1</v>
      </c>
    </row>
    <row r="52" spans="1:26" ht="15" customHeight="1" x14ac:dyDescent="0.3">
      <c r="A52" s="10"/>
      <c r="B52" s="11"/>
      <c r="C52" s="11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O52" s="11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3" customFormat="1" ht="15" customHeight="1" x14ac:dyDescent="0.3">
      <c r="A53" s="11"/>
      <c r="B53" s="28" t="s">
        <v>292</v>
      </c>
      <c r="C53" s="28"/>
      <c r="D53" s="21">
        <f>+D16-D18+D48</f>
        <v>2018.51</v>
      </c>
      <c r="E53" s="15"/>
      <c r="F53" s="22">
        <f>IF(D$12=0,0,D53/D$12)</f>
        <v>0</v>
      </c>
      <c r="G53" s="15"/>
      <c r="H53" s="21">
        <f>+H16-H18+H48</f>
        <v>37154.720000000001</v>
      </c>
      <c r="I53" s="15"/>
      <c r="J53" s="22">
        <f>IF(H$12=0,0,H53/H$12)</f>
        <v>0</v>
      </c>
      <c r="K53" s="16"/>
      <c r="L53" s="21">
        <f>+D53-H53</f>
        <v>-35136.21</v>
      </c>
      <c r="M53" s="16"/>
      <c r="N53" s="22">
        <f>IF(H53=0,0,L53/H53)</f>
        <v>-0.9456728512555066</v>
      </c>
      <c r="O53" s="27"/>
      <c r="P53" s="21">
        <f>+P16-P18+P48</f>
        <v>119273.13</v>
      </c>
      <c r="Q53" s="15"/>
      <c r="R53" s="22">
        <f>IF(P$12=0,0,P53/P$12)</f>
        <v>0</v>
      </c>
      <c r="S53" s="15"/>
      <c r="T53" s="21">
        <f>+T16-T18+T48</f>
        <v>84373.31</v>
      </c>
      <c r="U53" s="15"/>
      <c r="V53" s="22">
        <f>IF(T$12=0,0,T53/T$12)</f>
        <v>0</v>
      </c>
      <c r="W53" s="16"/>
      <c r="X53" s="21">
        <f>+P53-T53</f>
        <v>34899.820000000007</v>
      </c>
      <c r="Y53" s="16"/>
      <c r="Z53" s="22">
        <f>IF(T53=0,0,X53/T53)</f>
        <v>0.41363578126779676</v>
      </c>
    </row>
    <row r="54" spans="1:26" ht="15" customHeight="1" x14ac:dyDescent="0.3">
      <c r="A54" s="10"/>
      <c r="B54" s="11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s="63" customFormat="1" ht="15" customHeight="1" x14ac:dyDescent="0.3">
      <c r="A55" s="49"/>
      <c r="B55" s="11" t="s">
        <v>293</v>
      </c>
      <c r="C55" s="11"/>
      <c r="D55" s="5"/>
      <c r="E55" s="5"/>
      <c r="F55" s="13">
        <f>IF(D$12=0,0,D55/D$12)</f>
        <v>0</v>
      </c>
      <c r="G55" s="5"/>
      <c r="H55" s="5"/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/>
      <c r="Q55" s="5"/>
      <c r="R55" s="13">
        <f>IF(P$12=0,0,P55/P$12)</f>
        <v>0</v>
      </c>
      <c r="S55" s="5"/>
      <c r="T55" s="5"/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3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3">
      <c r="A57" s="11"/>
      <c r="B57" s="28" t="s">
        <v>294</v>
      </c>
      <c r="C57" s="28"/>
      <c r="D57" s="33">
        <f>+D53-D55</f>
        <v>2018.51</v>
      </c>
      <c r="E57" s="15"/>
      <c r="F57" s="32">
        <f>IF(D$12=0,0,D57/D$12)</f>
        <v>0</v>
      </c>
      <c r="G57" s="15"/>
      <c r="H57" s="33">
        <f>+H53-H55</f>
        <v>37154.720000000001</v>
      </c>
      <c r="I57" s="15"/>
      <c r="J57" s="32">
        <f>IF(H$12=0,0,H57/H$12)</f>
        <v>0</v>
      </c>
      <c r="K57" s="16"/>
      <c r="L57" s="33">
        <f>D57-H57</f>
        <v>-35136.21</v>
      </c>
      <c r="M57" s="16"/>
      <c r="N57" s="32">
        <f>IF(H57=0,0,L57/H57)</f>
        <v>-0.9456728512555066</v>
      </c>
      <c r="O57" s="27"/>
      <c r="P57" s="33">
        <f>+P53-P55</f>
        <v>119273.13</v>
      </c>
      <c r="Q57" s="15"/>
      <c r="R57" s="32">
        <f>IF(P$12=0,0,P57/P$12)</f>
        <v>0</v>
      </c>
      <c r="S57" s="15"/>
      <c r="T57" s="33">
        <f>+T53-T55</f>
        <v>84373.31</v>
      </c>
      <c r="U57" s="15"/>
      <c r="V57" s="32">
        <f>IF(T$12=0,0,T57/T$12)</f>
        <v>0</v>
      </c>
      <c r="W57" s="16"/>
      <c r="X57" s="33">
        <f>P57-T57</f>
        <v>34899.820000000007</v>
      </c>
      <c r="Y57" s="16"/>
      <c r="Z57" s="32">
        <f>IF(T57=0,0,X57/T57)</f>
        <v>0.41363578126779676</v>
      </c>
    </row>
    <row r="58" spans="1:26" ht="15" customHeight="1" x14ac:dyDescent="0.3">
      <c r="A58" s="10"/>
      <c r="B58" s="10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ht="15" customHeight="1" x14ac:dyDescent="0.3">
      <c r="A59" s="10"/>
      <c r="B59" s="10"/>
      <c r="C59" s="10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3" customFormat="1" ht="15" customHeight="1" x14ac:dyDescent="0.3">
      <c r="A60" s="11"/>
      <c r="B60" s="28" t="s">
        <v>297</v>
      </c>
      <c r="C60" s="28"/>
      <c r="D60" s="34">
        <f>SUM(D57:D59)</f>
        <v>2018.51</v>
      </c>
      <c r="E60" s="15"/>
      <c r="F60" s="30">
        <f>IF(D$12=0,0,D60/D$12)</f>
        <v>0</v>
      </c>
      <c r="G60" s="15"/>
      <c r="H60" s="34">
        <f>SUM(H57:H59)</f>
        <v>37154.720000000001</v>
      </c>
      <c r="I60" s="15"/>
      <c r="J60" s="30">
        <f>IF(H$12=0,0,H60/H$12)</f>
        <v>0</v>
      </c>
      <c r="K60" s="16"/>
      <c r="L60" s="34">
        <f>+D60-H60</f>
        <v>-35136.21</v>
      </c>
      <c r="M60" s="16"/>
      <c r="N60" s="30">
        <f>IF(H60=0,0,L60/H60)</f>
        <v>-0.9456728512555066</v>
      </c>
      <c r="O60" s="27"/>
      <c r="P60" s="34">
        <f>SUM(P57:P59)</f>
        <v>119273.13</v>
      </c>
      <c r="Q60" s="15"/>
      <c r="R60" s="30">
        <f>IF(P$12=0,0,P60/P$12)</f>
        <v>0</v>
      </c>
      <c r="S60" s="15"/>
      <c r="T60" s="34">
        <f>SUM(T57:T59)</f>
        <v>84373.31</v>
      </c>
      <c r="U60" s="15"/>
      <c r="V60" s="30">
        <f>IF(T$12=0,0,T60/T$12)</f>
        <v>0</v>
      </c>
      <c r="W60" s="16"/>
      <c r="X60" s="34">
        <f>+P60-T60</f>
        <v>34899.820000000007</v>
      </c>
      <c r="Y60" s="16"/>
      <c r="Z60" s="30">
        <f>IF(T60=0,0,X60/T60)</f>
        <v>0.41363578126779676</v>
      </c>
    </row>
    <row r="61" spans="1:26" ht="15" customHeight="1" x14ac:dyDescent="0.3">
      <c r="A61" s="10"/>
      <c r="C61" s="10"/>
      <c r="D61" s="19"/>
      <c r="E61" s="19"/>
      <c r="G61" s="19"/>
      <c r="H61" s="19"/>
      <c r="I61" s="19"/>
      <c r="J61" s="41"/>
      <c r="K61" s="19"/>
      <c r="L61" s="19"/>
      <c r="M61" s="19"/>
      <c r="P61" s="19"/>
      <c r="Q61" s="19"/>
      <c r="R61" s="41"/>
      <c r="S61" s="19"/>
      <c r="T61" s="19"/>
      <c r="U61" s="19"/>
      <c r="V61" s="41"/>
      <c r="W61" s="19"/>
      <c r="X61" s="19"/>
    </row>
    <row r="62" spans="1:26" ht="15" customHeight="1" x14ac:dyDescent="0.3">
      <c r="A62" s="10"/>
      <c r="B62" s="57">
        <v>44634.883430555557</v>
      </c>
      <c r="D62" s="19"/>
      <c r="E62" s="19"/>
      <c r="G62" s="19"/>
      <c r="H62" s="19"/>
      <c r="I62" s="19"/>
      <c r="J62" s="41"/>
      <c r="K62" s="19"/>
      <c r="L62" s="19"/>
      <c r="M62" s="19"/>
      <c r="P62" s="19"/>
      <c r="Q62" s="19"/>
      <c r="R62" s="41"/>
      <c r="S62" s="19"/>
      <c r="T62" s="19"/>
      <c r="U62" s="19"/>
      <c r="V62" s="41"/>
      <c r="W62" s="19"/>
      <c r="X62" s="19"/>
    </row>
    <row r="63" spans="1:26" ht="15" customHeight="1" x14ac:dyDescent="0.3">
      <c r="A63" s="10"/>
      <c r="B63" s="56" t="s">
        <v>298</v>
      </c>
      <c r="D63" s="19"/>
      <c r="E63" s="19"/>
      <c r="G63" s="19"/>
      <c r="H63" s="19"/>
      <c r="I63" s="19"/>
      <c r="J63" s="41"/>
      <c r="K63" s="19"/>
      <c r="L63" s="19"/>
      <c r="M63" s="19"/>
      <c r="P63" s="19"/>
      <c r="Q63" s="19"/>
      <c r="R63" s="41"/>
      <c r="S63" s="19"/>
      <c r="T63" s="19"/>
      <c r="U63" s="19"/>
      <c r="V63" s="41"/>
      <c r="W63" s="19"/>
      <c r="X63" s="19"/>
    </row>
    <row r="64" spans="1:26" ht="15" customHeight="1" x14ac:dyDescent="0.3">
      <c r="A64" s="10"/>
      <c r="B64" s="54"/>
      <c r="D64" s="19"/>
      <c r="E64" s="19"/>
      <c r="G64" s="19"/>
      <c r="H64" s="19"/>
      <c r="I64" s="19"/>
      <c r="J64" s="41"/>
      <c r="K64" s="19"/>
      <c r="L64" s="19"/>
      <c r="M64" s="19"/>
      <c r="P64" s="19"/>
      <c r="Q64" s="19"/>
      <c r="R64" s="41"/>
      <c r="S64" s="19"/>
      <c r="T64" s="19"/>
      <c r="U64" s="19"/>
      <c r="V64" s="41"/>
      <c r="W64" s="19"/>
      <c r="X64" s="19"/>
    </row>
    <row r="65" spans="4:24" ht="15" customHeight="1" x14ac:dyDescent="0.3">
      <c r="D65" s="19"/>
      <c r="E65" s="19"/>
      <c r="G65" s="19"/>
      <c r="H65" s="19"/>
      <c r="I65" s="19"/>
      <c r="J65" s="41"/>
      <c r="K65" s="19"/>
      <c r="L65" s="19"/>
      <c r="M65" s="19"/>
      <c r="P65" s="19"/>
      <c r="Q65" s="19"/>
      <c r="R65" s="41"/>
      <c r="S65" s="19"/>
      <c r="T65" s="19"/>
      <c r="U65" s="19"/>
      <c r="V65" s="41"/>
      <c r="W65" s="19"/>
      <c r="X65" s="19"/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4523-4C7D-CF6B-C78F-908732C16F96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","424"," - ","Blair Field")</f>
        <v>Department 424 - Blair Field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954.29</v>
      </c>
      <c r="E18" s="23"/>
      <c r="F18" s="29">
        <f t="shared" ref="F18:F24" si="0">IF(D$12=0,0,D18/D$12)</f>
        <v>0</v>
      </c>
      <c r="G18" s="23"/>
      <c r="H18" s="23" cm="1">
        <f t="array" ref="H18">SUM(OSRRefH22x_0)</f>
        <v>479</v>
      </c>
      <c r="I18" s="23"/>
      <c r="J18" s="29">
        <f t="shared" ref="J18:J24" si="1">IF(H$12=0,0,H18/H$12)</f>
        <v>0</v>
      </c>
      <c r="K18" s="5"/>
      <c r="L18" s="23">
        <f t="shared" ref="L18:L24" si="2">+D18-H18</f>
        <v>475.28999999999996</v>
      </c>
      <c r="M18" s="5"/>
      <c r="N18" s="29">
        <f t="shared" ref="N18:N24" si="3">IF(H18=0,0,L18/H18)</f>
        <v>0.99225469728601245</v>
      </c>
      <c r="O18" s="11"/>
      <c r="P18" s="23" cm="1">
        <f t="array" ref="P18">SUM(OSRRefP22x_0)</f>
        <v>4313.32</v>
      </c>
      <c r="Q18" s="23"/>
      <c r="R18" s="29">
        <f t="shared" ref="R18:R24" si="4">IF(P$12=0,0,P18/P$12)</f>
        <v>0</v>
      </c>
      <c r="S18" s="23"/>
      <c r="T18" s="23" cm="1">
        <f t="array" ref="T18">SUM(OSRRefT22x_0)</f>
        <v>3832</v>
      </c>
      <c r="U18" s="23"/>
      <c r="V18" s="29">
        <f t="shared" ref="V18:V24" si="5">IF(T$12=0,0,T18/T$12)</f>
        <v>0</v>
      </c>
      <c r="W18" s="5"/>
      <c r="X18" s="23">
        <f t="shared" ref="X18:X24" si="6">+P18-T18</f>
        <v>481.31999999999971</v>
      </c>
      <c r="Y18" s="5"/>
      <c r="Z18" s="29">
        <f t="shared" ref="Z18:Z24" si="7">IF(T18=0,0,X18/T18)</f>
        <v>0.12560542797494773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</v>
      </c>
      <c r="I19" s="2"/>
      <c r="J19" s="6">
        <f t="shared" si="1"/>
        <v>0</v>
      </c>
      <c r="K19" s="2"/>
      <c r="L19" s="2">
        <f t="shared" si="2"/>
        <v>0.29000000000002046</v>
      </c>
      <c r="M19" s="2"/>
      <c r="N19" s="6">
        <f t="shared" si="3"/>
        <v>6.054279749478506E-4</v>
      </c>
      <c r="O19" s="14"/>
      <c r="P19" s="2">
        <f>SUM(OSRRefP22_0x_0)</f>
        <v>3834.32</v>
      </c>
      <c r="Q19" s="2"/>
      <c r="R19" s="6">
        <f t="shared" si="4"/>
        <v>0</v>
      </c>
      <c r="S19" s="2"/>
      <c r="T19" s="2">
        <f>SUM(OSRRefT22_0x_0)</f>
        <v>3832</v>
      </c>
      <c r="U19" s="2"/>
      <c r="V19" s="6">
        <f t="shared" si="5"/>
        <v>0</v>
      </c>
      <c r="W19" s="2"/>
      <c r="X19" s="2">
        <f t="shared" si="6"/>
        <v>2.3200000000001637</v>
      </c>
      <c r="Y19" s="2"/>
      <c r="Z19" s="6">
        <f t="shared" si="7"/>
        <v>6.054279749478506E-4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479.29</v>
      </c>
      <c r="E20" s="3"/>
      <c r="F20" s="7">
        <f t="shared" si="0"/>
        <v>0</v>
      </c>
      <c r="G20" s="3"/>
      <c r="H20" s="8">
        <v>479</v>
      </c>
      <c r="I20" s="3"/>
      <c r="J20" s="7">
        <f t="shared" si="1"/>
        <v>0</v>
      </c>
      <c r="K20" s="3"/>
      <c r="L20" s="8">
        <f t="shared" si="2"/>
        <v>0.29000000000002046</v>
      </c>
      <c r="M20" s="3"/>
      <c r="N20" s="7">
        <f t="shared" si="3"/>
        <v>6.054279749478506E-4</v>
      </c>
      <c r="O20" s="12"/>
      <c r="P20" s="8">
        <v>3834.32</v>
      </c>
      <c r="Q20" s="3"/>
      <c r="R20" s="7">
        <f t="shared" si="4"/>
        <v>0</v>
      </c>
      <c r="S20" s="3"/>
      <c r="T20" s="8">
        <v>3832</v>
      </c>
      <c r="U20" s="3"/>
      <c r="V20" s="7">
        <f t="shared" si="5"/>
        <v>0</v>
      </c>
      <c r="W20" s="3"/>
      <c r="X20" s="8">
        <f t="shared" si="6"/>
        <v>2.3200000000001637</v>
      </c>
      <c r="Y20" s="3"/>
      <c r="Z20" s="7">
        <f t="shared" si="7"/>
        <v>6.054279749478506E-4</v>
      </c>
    </row>
    <row r="21" spans="1:26" s="69" customFormat="1" ht="15" customHeight="1" outlineLevel="1" collapsed="1" x14ac:dyDescent="0.3">
      <c r="A21" s="25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475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475</v>
      </c>
      <c r="M21" s="2"/>
      <c r="N21" s="6">
        <f t="shared" si="3"/>
        <v>0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479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","6279"," - ","GENERAL EXPENSE")</f>
        <v xml:space="preserve">          6279 - GENERAL EXPENSE</v>
      </c>
      <c r="C22" s="12"/>
      <c r="D22" s="8">
        <v>475</v>
      </c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475</v>
      </c>
      <c r="M22" s="3"/>
      <c r="N22" s="7">
        <f t="shared" si="3"/>
        <v>0</v>
      </c>
      <c r="O22" s="12"/>
      <c r="P22" s="8">
        <v>479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479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7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8" t="s">
        <v>292</v>
      </c>
      <c r="C28" s="28"/>
      <c r="D28" s="21">
        <f>+D16-D18+D26</f>
        <v>-954.29</v>
      </c>
      <c r="E28" s="15"/>
      <c r="F28" s="22">
        <f>IF(D$12=0,0,D28/D$12)</f>
        <v>0</v>
      </c>
      <c r="G28" s="15"/>
      <c r="H28" s="21">
        <f>+H16-H18+H26</f>
        <v>-479</v>
      </c>
      <c r="I28" s="15"/>
      <c r="J28" s="22">
        <f>IF(H$12=0,0,H28/H$12)</f>
        <v>0</v>
      </c>
      <c r="K28" s="16"/>
      <c r="L28" s="21">
        <f>+D28-H28</f>
        <v>-475.28999999999996</v>
      </c>
      <c r="M28" s="16"/>
      <c r="N28" s="22">
        <f>IF(H28=0,0,L28/H28)</f>
        <v>0.99225469728601245</v>
      </c>
      <c r="O28" s="27"/>
      <c r="P28" s="21">
        <f>+P16-P18+P26</f>
        <v>-4313.32</v>
      </c>
      <c r="Q28" s="15"/>
      <c r="R28" s="22">
        <f>IF(P$12=0,0,P28/P$12)</f>
        <v>0</v>
      </c>
      <c r="S28" s="15"/>
      <c r="T28" s="21">
        <f>+T16-T18+T26</f>
        <v>-3832</v>
      </c>
      <c r="U28" s="15"/>
      <c r="V28" s="22">
        <f>IF(T$12=0,0,T28/T$12)</f>
        <v>0</v>
      </c>
      <c r="W28" s="16"/>
      <c r="X28" s="21">
        <f>+P28-T28</f>
        <v>-481.31999999999971</v>
      </c>
      <c r="Y28" s="16"/>
      <c r="Z28" s="22">
        <f>IF(T28=0,0,X28/T28)</f>
        <v>0.12560542797494773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8" t="s">
        <v>294</v>
      </c>
      <c r="C32" s="28"/>
      <c r="D32" s="33">
        <f>+D28-D30</f>
        <v>-954.29</v>
      </c>
      <c r="E32" s="15"/>
      <c r="F32" s="32">
        <f>IF(D$12=0,0,D32/D$12)</f>
        <v>0</v>
      </c>
      <c r="G32" s="15"/>
      <c r="H32" s="33">
        <f>+H28-H30</f>
        <v>-479</v>
      </c>
      <c r="I32" s="15"/>
      <c r="J32" s="32">
        <f>IF(H$12=0,0,H32/H$12)</f>
        <v>0</v>
      </c>
      <c r="K32" s="16"/>
      <c r="L32" s="33">
        <f>D32-H32</f>
        <v>-475.28999999999996</v>
      </c>
      <c r="M32" s="16"/>
      <c r="N32" s="32">
        <f>IF(H32=0,0,L32/H32)</f>
        <v>0.99225469728601245</v>
      </c>
      <c r="O32" s="27"/>
      <c r="P32" s="33">
        <f>+P28-P30</f>
        <v>-4313.32</v>
      </c>
      <c r="Q32" s="15"/>
      <c r="R32" s="32">
        <f>IF(P$12=0,0,P32/P$12)</f>
        <v>0</v>
      </c>
      <c r="S32" s="15"/>
      <c r="T32" s="33">
        <f>+T28-T30</f>
        <v>-3832</v>
      </c>
      <c r="U32" s="15"/>
      <c r="V32" s="32">
        <f>IF(T$12=0,0,T32/T$12)</f>
        <v>0</v>
      </c>
      <c r="W32" s="16"/>
      <c r="X32" s="33">
        <f>P32-T32</f>
        <v>-481.31999999999971</v>
      </c>
      <c r="Y32" s="16"/>
      <c r="Z32" s="32">
        <f>IF(T32=0,0,X32/T32)</f>
        <v>0.12560542797494773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8" t="s">
        <v>297</v>
      </c>
      <c r="C35" s="28"/>
      <c r="D35" s="34">
        <f>SUM(D32:D34)</f>
        <v>-954.29</v>
      </c>
      <c r="E35" s="15"/>
      <c r="F35" s="30">
        <f>IF(D$12=0,0,D35/D$12)</f>
        <v>0</v>
      </c>
      <c r="G35" s="15"/>
      <c r="H35" s="34">
        <f>SUM(H32:H34)</f>
        <v>-479</v>
      </c>
      <c r="I35" s="15"/>
      <c r="J35" s="30">
        <f>IF(H$12=0,0,H35/H$12)</f>
        <v>0</v>
      </c>
      <c r="K35" s="16"/>
      <c r="L35" s="34">
        <f>+D35-H35</f>
        <v>-475.28999999999996</v>
      </c>
      <c r="M35" s="16"/>
      <c r="N35" s="30">
        <f>IF(H35=0,0,L35/H35)</f>
        <v>0.99225469728601245</v>
      </c>
      <c r="O35" s="27"/>
      <c r="P35" s="34">
        <f>SUM(P32:P34)</f>
        <v>-4313.32</v>
      </c>
      <c r="Q35" s="15"/>
      <c r="R35" s="30">
        <f>IF(P$12=0,0,P35/P$12)</f>
        <v>0</v>
      </c>
      <c r="S35" s="15"/>
      <c r="T35" s="34">
        <f>SUM(T32:T34)</f>
        <v>-3832</v>
      </c>
      <c r="U35" s="15"/>
      <c r="V35" s="30">
        <f>IF(T$12=0,0,T35/T$12)</f>
        <v>0</v>
      </c>
      <c r="W35" s="16"/>
      <c r="X35" s="34">
        <f>+P35-T35</f>
        <v>-481.31999999999971</v>
      </c>
      <c r="Y35" s="16"/>
      <c r="Z35" s="30">
        <f>IF(T35=0,0,X35/T35)</f>
        <v>0.12560542797494773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  <row r="37" spans="1:26" ht="15" customHeight="1" x14ac:dyDescent="0.3">
      <c r="A37" s="10"/>
      <c r="B37" s="57">
        <v>44634.883430555557</v>
      </c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6" t="s">
        <v>298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4"/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EBD63-1866-04F9-AA15-FE332726BD82}">
  <sheetPr>
    <tabColor rgb="FF92D050"/>
    <outlinePr summaryBelow="0" summaryRight="0"/>
  </sheetPr>
  <dimension ref="A2:Z4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","425"," - ","Events Center")</f>
        <v>Department 425 - Events Center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5743.27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5743.27</v>
      </c>
      <c r="M12" s="5"/>
      <c r="N12" s="13">
        <f>IF(H12=0,0,L12/H12)</f>
        <v>0</v>
      </c>
      <c r="O12" s="11"/>
      <c r="P12" s="5">
        <f>SUM(OSRRefP13x_0)</f>
        <v>14535.74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14535.74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--5743.27</f>
        <v>5743.27</v>
      </c>
      <c r="E13" s="3"/>
      <c r="F13" s="20"/>
      <c r="G13" s="3"/>
      <c r="H13" s="3"/>
      <c r="I13" s="3"/>
      <c r="J13" s="20"/>
      <c r="K13" s="3"/>
      <c r="L13" s="3">
        <f>+D13-H13</f>
        <v>5743.27</v>
      </c>
      <c r="M13" s="3"/>
      <c r="N13" s="20">
        <f>IF(H13=0,0,L13/H13)</f>
        <v>0</v>
      </c>
      <c r="O13" s="12"/>
      <c r="P13" s="3">
        <f>--14535.74</f>
        <v>14535.74</v>
      </c>
      <c r="Q13" s="3"/>
      <c r="R13" s="20"/>
      <c r="S13" s="3"/>
      <c r="T13" s="3"/>
      <c r="U13" s="3"/>
      <c r="V13" s="20"/>
      <c r="W13" s="3"/>
      <c r="X13" s="3">
        <f>+P13-T13</f>
        <v>14535.74</v>
      </c>
      <c r="Y13" s="3"/>
      <c r="Z13" s="20">
        <f>IF(T13=0,0,X13/T13)</f>
        <v>0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>
        <f>SUM(OSRRefD16x_0)</f>
        <v>1127.48</v>
      </c>
      <c r="E15" s="5"/>
      <c r="F15" s="13">
        <f>IF(D$12=0,0,D15/D$12)</f>
        <v>0.19631325011709355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1127.48</v>
      </c>
      <c r="M15" s="5"/>
      <c r="N15" s="13">
        <f>IF(H15=0,0,L15/H15)</f>
        <v>0</v>
      </c>
      <c r="O15" s="11"/>
      <c r="P15" s="5">
        <f>SUM(OSRRefP16x_0)</f>
        <v>8167.25</v>
      </c>
      <c r="Q15" s="5"/>
      <c r="R15" s="13">
        <f>IF(P$12=0,0,P15/P$12)</f>
        <v>0.56187369889665062</v>
      </c>
      <c r="S15" s="5"/>
      <c r="T15" s="5">
        <f>SUM(OSRRefT16x_0)</f>
        <v>0</v>
      </c>
      <c r="U15" s="5"/>
      <c r="V15" s="13">
        <f>IF(T$12=0,0,T15/T$12)</f>
        <v>0</v>
      </c>
      <c r="W15" s="5"/>
      <c r="X15" s="5">
        <f>+P15-T15</f>
        <v>8167.25</v>
      </c>
      <c r="Y15" s="5"/>
      <c r="Z15" s="13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1127.48</v>
      </c>
      <c r="E16" s="3"/>
      <c r="F16" s="20">
        <f>IF(D$12=0,0,D16/D$12)</f>
        <v>0.19631325011709355</v>
      </c>
      <c r="G16" s="3"/>
      <c r="H16" s="3"/>
      <c r="I16" s="3"/>
      <c r="J16" s="20">
        <f>IF(H$12=0,0,H16/H$12)</f>
        <v>0</v>
      </c>
      <c r="K16" s="3"/>
      <c r="L16" s="3">
        <f>+D16-H16</f>
        <v>1127.48</v>
      </c>
      <c r="M16" s="3"/>
      <c r="N16" s="20">
        <f>IF(H16=0,0,L16/H16)</f>
        <v>0</v>
      </c>
      <c r="O16" s="12"/>
      <c r="P16" s="3">
        <v>8167.25</v>
      </c>
      <c r="Q16" s="3"/>
      <c r="R16" s="20">
        <f>IF(P$12=0,0,P16/P$12)</f>
        <v>0.56187369889665062</v>
      </c>
      <c r="S16" s="3"/>
      <c r="T16" s="3"/>
      <c r="U16" s="3"/>
      <c r="V16" s="20">
        <f>IF(T$12=0,0,T16/T$12)</f>
        <v>0</v>
      </c>
      <c r="W16" s="3"/>
      <c r="X16" s="3">
        <f>+P16-T16</f>
        <v>8167.25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>
        <f>D12-D15</f>
        <v>4615.7900000000009</v>
      </c>
      <c r="E18" s="15"/>
      <c r="F18" s="22">
        <f>IF(D$12=0,0,D18/D$12)</f>
        <v>0.80368674988290656</v>
      </c>
      <c r="G18" s="15"/>
      <c r="H18" s="21">
        <f>H12-H15</f>
        <v>0</v>
      </c>
      <c r="I18" s="15"/>
      <c r="J18" s="22">
        <f>IF(H$12=0,0,H18/H$12)</f>
        <v>0</v>
      </c>
      <c r="K18" s="16"/>
      <c r="L18" s="21">
        <f>+D18-H18</f>
        <v>4615.7900000000009</v>
      </c>
      <c r="M18" s="16"/>
      <c r="N18" s="22">
        <f>IF(H18=0,0,L18/H18)</f>
        <v>0</v>
      </c>
      <c r="O18" s="27"/>
      <c r="P18" s="21">
        <f>P12-P15</f>
        <v>6368.49</v>
      </c>
      <c r="Q18" s="15"/>
      <c r="R18" s="22">
        <f>IF(P$12=0,0,P18/P$12)</f>
        <v>0.43812630110334938</v>
      </c>
      <c r="S18" s="15"/>
      <c r="T18" s="21">
        <f>T12-T15</f>
        <v>0</v>
      </c>
      <c r="U18" s="15"/>
      <c r="V18" s="22">
        <f>IF(T$12=0,0,T18/T$12)</f>
        <v>0</v>
      </c>
      <c r="W18" s="16"/>
      <c r="X18" s="21">
        <f>+P18-T18</f>
        <v>6368.49</v>
      </c>
      <c r="Y18" s="16"/>
      <c r="Z18" s="22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cm="1">
        <f t="array" ref="D20">SUM(OSRRefD22x_0)</f>
        <v>3100.85</v>
      </c>
      <c r="E20" s="23"/>
      <c r="F20" s="29">
        <f t="shared" ref="F20:F32" si="0">IF(D$12=0,0,D20/D$12)</f>
        <v>0.53991019053605349</v>
      </c>
      <c r="G20" s="23"/>
      <c r="H20" s="23" cm="1">
        <f t="array" ref="H20">SUM(OSRRefH22x_0)</f>
        <v>1001</v>
      </c>
      <c r="I20" s="23"/>
      <c r="J20" s="29">
        <f t="shared" ref="J20:J32" si="1">IF(H$12=0,0,H20/H$12)</f>
        <v>0</v>
      </c>
      <c r="K20" s="5"/>
      <c r="L20" s="23">
        <f t="shared" ref="L20:L32" si="2">+D20-H20</f>
        <v>2099.85</v>
      </c>
      <c r="M20" s="5"/>
      <c r="N20" s="29">
        <f t="shared" ref="N20:N32" si="3">IF(H20=0,0,L20/H20)</f>
        <v>2.0977522477522474</v>
      </c>
      <c r="O20" s="11"/>
      <c r="P20" s="23" cm="1">
        <f t="array" ref="P20">SUM(OSRRefP22x_0)</f>
        <v>15590.460000000001</v>
      </c>
      <c r="Q20" s="23"/>
      <c r="R20" s="29">
        <f t="shared" ref="R20:R32" si="4">IF(P$12=0,0,P20/P$12)</f>
        <v>1.072560461318103</v>
      </c>
      <c r="S20" s="23"/>
      <c r="T20" s="23" cm="1">
        <f t="array" ref="T20">SUM(OSRRefT22x_0)</f>
        <v>8008</v>
      </c>
      <c r="U20" s="23"/>
      <c r="V20" s="29">
        <f t="shared" ref="V20:V32" si="5">IF(T$12=0,0,T20/T$12)</f>
        <v>0</v>
      </c>
      <c r="W20" s="5"/>
      <c r="X20" s="23">
        <f t="shared" ref="X20:X32" si="6">+P20-T20</f>
        <v>7582.4600000000009</v>
      </c>
      <c r="Y20" s="5"/>
      <c r="Z20" s="29">
        <f t="shared" ref="Z20:Z32" si="7">IF(T20=0,0,X20/T20)</f>
        <v>0.94686063936063947</v>
      </c>
    </row>
    <row r="21" spans="1:26" s="69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SUM(OSRRefD22_0x_0)</f>
        <v>110.82</v>
      </c>
      <c r="E21" s="2"/>
      <c r="F21" s="6">
        <f t="shared" si="0"/>
        <v>1.9295627752134236E-2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110.82</v>
      </c>
      <c r="M21" s="2"/>
      <c r="N21" s="6">
        <f t="shared" si="3"/>
        <v>0</v>
      </c>
      <c r="O21" s="14"/>
      <c r="P21" s="2">
        <f>SUM(OSRRefP22_0x_0)</f>
        <v>277.89</v>
      </c>
      <c r="Q21" s="2"/>
      <c r="R21" s="6">
        <f t="shared" si="4"/>
        <v>1.9117705737719579E-2</v>
      </c>
      <c r="S21" s="2"/>
      <c r="T21" s="2">
        <f>SUM(OSRRefT22_0x_0)</f>
        <v>0</v>
      </c>
      <c r="U21" s="2"/>
      <c r="V21" s="6">
        <f t="shared" si="5"/>
        <v>0</v>
      </c>
      <c r="W21" s="2"/>
      <c r="X21" s="2">
        <f t="shared" si="6"/>
        <v>277.89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8">
        <v>110.82</v>
      </c>
      <c r="E22" s="3"/>
      <c r="F22" s="7">
        <f t="shared" si="0"/>
        <v>1.9295627752134236E-2</v>
      </c>
      <c r="G22" s="3"/>
      <c r="H22" s="8"/>
      <c r="I22" s="3"/>
      <c r="J22" s="7">
        <f t="shared" si="1"/>
        <v>0</v>
      </c>
      <c r="K22" s="3"/>
      <c r="L22" s="8">
        <f t="shared" si="2"/>
        <v>110.82</v>
      </c>
      <c r="M22" s="3"/>
      <c r="N22" s="7">
        <f t="shared" si="3"/>
        <v>0</v>
      </c>
      <c r="O22" s="12"/>
      <c r="P22" s="8">
        <v>277.89</v>
      </c>
      <c r="Q22" s="3"/>
      <c r="R22" s="7">
        <f t="shared" si="4"/>
        <v>1.9117705737719579E-2</v>
      </c>
      <c r="S22" s="3"/>
      <c r="T22" s="8"/>
      <c r="U22" s="3"/>
      <c r="V22" s="7">
        <f t="shared" si="5"/>
        <v>0</v>
      </c>
      <c r="W22" s="3"/>
      <c r="X22" s="8">
        <f t="shared" si="6"/>
        <v>277.89</v>
      </c>
      <c r="Y22" s="3"/>
      <c r="Z22" s="7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","Depreciation                                      ")</f>
        <v xml:space="preserve">     Depreciation                                      </v>
      </c>
      <c r="C23" s="14"/>
      <c r="D23" s="2">
        <f>SUM(OSRRefD22_1x_0)</f>
        <v>1000.91</v>
      </c>
      <c r="E23" s="2"/>
      <c r="F23" s="6">
        <f t="shared" si="0"/>
        <v>0.17427528219986174</v>
      </c>
      <c r="G23" s="2"/>
      <c r="H23" s="2">
        <f>SUM(OSRRefH22_1x_0)</f>
        <v>1001</v>
      </c>
      <c r="I23" s="2"/>
      <c r="J23" s="6">
        <f t="shared" si="1"/>
        <v>0</v>
      </c>
      <c r="K23" s="2"/>
      <c r="L23" s="2">
        <f t="shared" si="2"/>
        <v>-9.0000000000031832E-2</v>
      </c>
      <c r="M23" s="2"/>
      <c r="N23" s="6">
        <f t="shared" si="3"/>
        <v>-8.9910089910121704E-5</v>
      </c>
      <c r="O23" s="14"/>
      <c r="P23" s="2">
        <f>SUM(OSRRefP22_1x_0)</f>
        <v>8007.28</v>
      </c>
      <c r="Q23" s="2"/>
      <c r="R23" s="6">
        <f t="shared" si="4"/>
        <v>0.55086841124015706</v>
      </c>
      <c r="S23" s="2"/>
      <c r="T23" s="2">
        <f>SUM(OSRRefT22_1x_0)</f>
        <v>8008</v>
      </c>
      <c r="U23" s="2"/>
      <c r="V23" s="6">
        <f t="shared" si="5"/>
        <v>0</v>
      </c>
      <c r="W23" s="2"/>
      <c r="X23" s="2">
        <f t="shared" si="6"/>
        <v>-0.72000000000025466</v>
      </c>
      <c r="Y23" s="2"/>
      <c r="Z23" s="6">
        <f t="shared" si="7"/>
        <v>-8.9910089910121704E-5</v>
      </c>
    </row>
    <row r="24" spans="1:26" s="70" customFormat="1" ht="15" hidden="1" customHeight="1" outlineLevel="2" x14ac:dyDescent="0.3">
      <c r="A24" s="26"/>
      <c r="B24" s="12" t="str">
        <f>CONCATENATE("          ","6322"," - ","EQUIPMENT DEPRECIATION EXPENSE")</f>
        <v xml:space="preserve">          6322 - EQUIPMENT DEPRECIATION EXPENSE</v>
      </c>
      <c r="C24" s="12"/>
      <c r="D24" s="8">
        <v>1000.91</v>
      </c>
      <c r="E24" s="3"/>
      <c r="F24" s="7">
        <f t="shared" si="0"/>
        <v>0.17427528219986174</v>
      </c>
      <c r="G24" s="3"/>
      <c r="H24" s="8">
        <v>1001</v>
      </c>
      <c r="I24" s="3"/>
      <c r="J24" s="7">
        <f t="shared" si="1"/>
        <v>0</v>
      </c>
      <c r="K24" s="3"/>
      <c r="L24" s="8">
        <f t="shared" si="2"/>
        <v>-9.0000000000031832E-2</v>
      </c>
      <c r="M24" s="3"/>
      <c r="N24" s="7">
        <f t="shared" si="3"/>
        <v>-8.9910089910121704E-5</v>
      </c>
      <c r="O24" s="12"/>
      <c r="P24" s="8">
        <v>8007.28</v>
      </c>
      <c r="Q24" s="3"/>
      <c r="R24" s="7">
        <f t="shared" si="4"/>
        <v>0.55086841124015706</v>
      </c>
      <c r="S24" s="3"/>
      <c r="T24" s="8">
        <v>8008</v>
      </c>
      <c r="U24" s="3"/>
      <c r="V24" s="7">
        <f t="shared" si="5"/>
        <v>0</v>
      </c>
      <c r="W24" s="3"/>
      <c r="X24" s="8">
        <f t="shared" si="6"/>
        <v>-0.72000000000025466</v>
      </c>
      <c r="Y24" s="3"/>
      <c r="Z24" s="7">
        <f t="shared" si="7"/>
        <v>-8.9910089910121704E-5</v>
      </c>
    </row>
    <row r="25" spans="1:26" s="69" customFormat="1" ht="15" customHeight="1" outlineLevel="1" collapsed="1" x14ac:dyDescent="0.3">
      <c r="A25" s="25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SUM(OSRRefD22_2x_0)</f>
        <v>200</v>
      </c>
      <c r="E25" s="2"/>
      <c r="F25" s="6">
        <f t="shared" si="0"/>
        <v>3.4823367175842328E-2</v>
      </c>
      <c r="G25" s="2"/>
      <c r="H25" s="2">
        <f>SUM(OSRRefH22_2x_0)</f>
        <v>0</v>
      </c>
      <c r="I25" s="2"/>
      <c r="J25" s="6">
        <f t="shared" si="1"/>
        <v>0</v>
      </c>
      <c r="K25" s="2"/>
      <c r="L25" s="2">
        <f t="shared" si="2"/>
        <v>200</v>
      </c>
      <c r="M25" s="2"/>
      <c r="N25" s="6">
        <f t="shared" si="3"/>
        <v>0</v>
      </c>
      <c r="O25" s="14"/>
      <c r="P25" s="2">
        <f>SUM(OSRRefP22_2x_0)</f>
        <v>3555</v>
      </c>
      <c r="Q25" s="2"/>
      <c r="R25" s="6">
        <f t="shared" si="4"/>
        <v>0.24456959191620103</v>
      </c>
      <c r="S25" s="2"/>
      <c r="T25" s="2">
        <f>SUM(OSRRefT22_2x_0)</f>
        <v>0</v>
      </c>
      <c r="U25" s="2"/>
      <c r="V25" s="6">
        <f t="shared" si="5"/>
        <v>0</v>
      </c>
      <c r="W25" s="2"/>
      <c r="X25" s="2">
        <f t="shared" si="6"/>
        <v>3555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","6279"," - ","GENERAL EXPENSE")</f>
        <v xml:space="preserve">          6279 - GENERAL EXPENSE</v>
      </c>
      <c r="C26" s="12"/>
      <c r="D26" s="8">
        <v>200</v>
      </c>
      <c r="E26" s="3"/>
      <c r="F26" s="7">
        <f t="shared" si="0"/>
        <v>3.4823367175842328E-2</v>
      </c>
      <c r="G26" s="3"/>
      <c r="H26" s="8"/>
      <c r="I26" s="3"/>
      <c r="J26" s="7">
        <f t="shared" si="1"/>
        <v>0</v>
      </c>
      <c r="K26" s="3"/>
      <c r="L26" s="8">
        <f t="shared" si="2"/>
        <v>200</v>
      </c>
      <c r="M26" s="3"/>
      <c r="N26" s="7">
        <f t="shared" si="3"/>
        <v>0</v>
      </c>
      <c r="O26" s="12"/>
      <c r="P26" s="8">
        <v>3555</v>
      </c>
      <c r="Q26" s="3"/>
      <c r="R26" s="7">
        <f t="shared" si="4"/>
        <v>0.24456959191620103</v>
      </c>
      <c r="S26" s="3"/>
      <c r="T26" s="8"/>
      <c r="U26" s="3"/>
      <c r="V26" s="7">
        <f t="shared" si="5"/>
        <v>0</v>
      </c>
      <c r="W26" s="3"/>
      <c r="X26" s="8">
        <f t="shared" si="6"/>
        <v>3555</v>
      </c>
      <c r="Y26" s="3"/>
      <c r="Z26" s="7">
        <f t="shared" si="7"/>
        <v>0</v>
      </c>
    </row>
    <row r="27" spans="1:26" s="69" customFormat="1" ht="15" customHeight="1" outlineLevel="1" collapsed="1" x14ac:dyDescent="0.3">
      <c r="A27" s="25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2">
        <f>SUM(OSRRefD22_3x_0)</f>
        <v>1789.12</v>
      </c>
      <c r="E27" s="2"/>
      <c r="F27" s="6">
        <f t="shared" si="0"/>
        <v>0.31151591340821516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1789.12</v>
      </c>
      <c r="M27" s="2"/>
      <c r="N27" s="6">
        <f t="shared" si="3"/>
        <v>0</v>
      </c>
      <c r="O27" s="14"/>
      <c r="P27" s="2">
        <f>SUM(OSRRefP22_3x_0)</f>
        <v>3634.03</v>
      </c>
      <c r="Q27" s="2"/>
      <c r="R27" s="6">
        <f t="shared" si="4"/>
        <v>0.25000653561497388</v>
      </c>
      <c r="S27" s="2"/>
      <c r="T27" s="2">
        <f>SUM(OSRRefT22_3x_0)</f>
        <v>0</v>
      </c>
      <c r="U27" s="2"/>
      <c r="V27" s="6">
        <f t="shared" si="5"/>
        <v>0</v>
      </c>
      <c r="W27" s="2"/>
      <c r="X27" s="2">
        <f t="shared" si="6"/>
        <v>3634.03</v>
      </c>
      <c r="Y27" s="2"/>
      <c r="Z27" s="6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","6254"," - ","ROYALTY &amp; COMMISSIONS")</f>
        <v xml:space="preserve">          6254 - ROYALTY &amp; COMMISSIONS</v>
      </c>
      <c r="C28" s="12"/>
      <c r="D28" s="8">
        <v>1789.12</v>
      </c>
      <c r="E28" s="3"/>
      <c r="F28" s="7">
        <f t="shared" si="0"/>
        <v>0.31151591340821516</v>
      </c>
      <c r="G28" s="3"/>
      <c r="H28" s="8"/>
      <c r="I28" s="3"/>
      <c r="J28" s="7">
        <f t="shared" si="1"/>
        <v>0</v>
      </c>
      <c r="K28" s="3"/>
      <c r="L28" s="8">
        <f t="shared" si="2"/>
        <v>1789.12</v>
      </c>
      <c r="M28" s="3"/>
      <c r="N28" s="7">
        <f t="shared" si="3"/>
        <v>0</v>
      </c>
      <c r="O28" s="12"/>
      <c r="P28" s="8">
        <v>3634.03</v>
      </c>
      <c r="Q28" s="3"/>
      <c r="R28" s="7">
        <f t="shared" si="4"/>
        <v>0.25000653561497388</v>
      </c>
      <c r="S28" s="3"/>
      <c r="T28" s="8"/>
      <c r="U28" s="3"/>
      <c r="V28" s="7">
        <f t="shared" si="5"/>
        <v>0</v>
      </c>
      <c r="W28" s="3"/>
      <c r="X28" s="8">
        <f t="shared" si="6"/>
        <v>3634.03</v>
      </c>
      <c r="Y28" s="3"/>
      <c r="Z28" s="7">
        <f t="shared" si="7"/>
        <v>0</v>
      </c>
    </row>
    <row r="29" spans="1:26" s="69" customFormat="1" ht="15" customHeight="1" outlineLevel="1" collapsed="1" x14ac:dyDescent="0.3">
      <c r="A29" s="25"/>
      <c r="B29" s="14" t="str">
        <f>CONCATENATE("     ","Services                                          ")</f>
        <v xml:space="preserve">     Services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0</v>
      </c>
      <c r="U29" s="2"/>
      <c r="V29" s="6">
        <f t="shared" si="5"/>
        <v>0</v>
      </c>
      <c r="W29" s="2"/>
      <c r="X29" s="2">
        <f t="shared" si="6"/>
        <v>0</v>
      </c>
      <c r="Y29" s="2"/>
      <c r="Z29" s="6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","6284"," - ","TRASH REMOVAL EXPENSE")</f>
        <v xml:space="preserve">          6284 - TRASH REMOVAL EXPENSE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","Supplies                                          ")</f>
        <v xml:space="preserve">     Supplies                                          </v>
      </c>
      <c r="C31" s="14"/>
      <c r="D31" s="2">
        <f>SUM(OSRRefD22_5x_0)</f>
        <v>0</v>
      </c>
      <c r="E31" s="2"/>
      <c r="F31" s="6">
        <f t="shared" si="0"/>
        <v>0</v>
      </c>
      <c r="G31" s="2"/>
      <c r="H31" s="2">
        <f>SUM(OSRRefH22_5x_0)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SUM(OSRRefP22_5x_0)</f>
        <v>116.26</v>
      </c>
      <c r="Q31" s="2"/>
      <c r="R31" s="6">
        <f t="shared" si="4"/>
        <v>7.9982168090513457E-3</v>
      </c>
      <c r="S31" s="2"/>
      <c r="T31" s="2">
        <f>SUM(OSRRefT22_5x_0)</f>
        <v>0</v>
      </c>
      <c r="U31" s="2"/>
      <c r="V31" s="6">
        <f t="shared" si="5"/>
        <v>0</v>
      </c>
      <c r="W31" s="2"/>
      <c r="X31" s="2">
        <f t="shared" si="6"/>
        <v>116.26</v>
      </c>
      <c r="Y31" s="2"/>
      <c r="Z31" s="6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","6243"," - ","PAPER SUPPLIES")</f>
        <v xml:space="preserve">          6243 - PAPER SUPPLIES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116.26</v>
      </c>
      <c r="Q32" s="3"/>
      <c r="R32" s="7">
        <f t="shared" si="4"/>
        <v>7.9982168090513457E-3</v>
      </c>
      <c r="S32" s="3"/>
      <c r="T32" s="8"/>
      <c r="U32" s="3"/>
      <c r="V32" s="7">
        <f t="shared" si="5"/>
        <v>0</v>
      </c>
      <c r="W32" s="3"/>
      <c r="X32" s="8">
        <f t="shared" si="6"/>
        <v>116.26</v>
      </c>
      <c r="Y32" s="3"/>
      <c r="Z32" s="7">
        <f t="shared" si="7"/>
        <v>0</v>
      </c>
    </row>
    <row r="33" spans="1:26" s="65" customFormat="1" ht="15" customHeight="1" x14ac:dyDescent="0.3">
      <c r="A33" s="35"/>
      <c r="B33" s="35"/>
      <c r="C33" s="35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5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3" customFormat="1" ht="15" customHeight="1" x14ac:dyDescent="0.3">
      <c r="A34" s="11"/>
      <c r="B34" s="27" t="s">
        <v>291</v>
      </c>
      <c r="C34" s="11"/>
      <c r="D34" s="5">
        <f>SUM(0)</f>
        <v>0</v>
      </c>
      <c r="E34" s="5"/>
      <c r="F34" s="13">
        <f>IF(D$12=0,0,D34/D$12)</f>
        <v>0</v>
      </c>
      <c r="G34" s="5"/>
      <c r="H34" s="5">
        <f>SUM(0)</f>
        <v>0</v>
      </c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>
        <f>SUM(0)</f>
        <v>0</v>
      </c>
      <c r="Q34" s="5"/>
      <c r="R34" s="13">
        <f>IF(P$12=0,0,P34/P$12)</f>
        <v>0</v>
      </c>
      <c r="S34" s="5"/>
      <c r="T34" s="5">
        <f>SUM(0)</f>
        <v>0</v>
      </c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292</v>
      </c>
      <c r="C36" s="28"/>
      <c r="D36" s="21">
        <f>+D18-D20+D34</f>
        <v>1514.940000000001</v>
      </c>
      <c r="E36" s="15"/>
      <c r="F36" s="22">
        <f>IF(D$12=0,0,D36/D$12)</f>
        <v>0.26377655934685307</v>
      </c>
      <c r="G36" s="15"/>
      <c r="H36" s="21">
        <f>+H18-H20+H34</f>
        <v>-1001</v>
      </c>
      <c r="I36" s="15"/>
      <c r="J36" s="22">
        <f>IF(H$12=0,0,H36/H$12)</f>
        <v>0</v>
      </c>
      <c r="K36" s="16"/>
      <c r="L36" s="21">
        <f>+D36-H36</f>
        <v>2515.940000000001</v>
      </c>
      <c r="M36" s="16"/>
      <c r="N36" s="22">
        <f>IF(H36=0,0,L36/H36)</f>
        <v>-2.5134265734265746</v>
      </c>
      <c r="O36" s="27"/>
      <c r="P36" s="21">
        <f>+P18-P20+P34</f>
        <v>-9221.9700000000012</v>
      </c>
      <c r="Q36" s="15"/>
      <c r="R36" s="22">
        <f>IF(P$12=0,0,P36/P$12)</f>
        <v>-0.63443416021475352</v>
      </c>
      <c r="S36" s="15"/>
      <c r="T36" s="21">
        <f>+T18-T20+T34</f>
        <v>-8008</v>
      </c>
      <c r="U36" s="15"/>
      <c r="V36" s="22">
        <f>IF(T$12=0,0,T36/T$12)</f>
        <v>0</v>
      </c>
      <c r="W36" s="16"/>
      <c r="X36" s="21">
        <f>+P36-T36</f>
        <v>-1213.9700000000012</v>
      </c>
      <c r="Y36" s="16"/>
      <c r="Z36" s="22">
        <f>IF(T36=0,0,X36/T36)</f>
        <v>0.15159465534465549</v>
      </c>
    </row>
    <row r="37" spans="1:26" ht="15" customHeight="1" x14ac:dyDescent="0.3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3">
      <c r="A38" s="49"/>
      <c r="B38" s="11" t="s">
        <v>293</v>
      </c>
      <c r="C38" s="11"/>
      <c r="D38" s="5">
        <v>650.54999999999995</v>
      </c>
      <c r="E38" s="5"/>
      <c r="F38" s="13">
        <f>IF(D$12=0,0,D38/D$12)</f>
        <v>0.11327170758122114</v>
      </c>
      <c r="G38" s="5"/>
      <c r="H38" s="5"/>
      <c r="I38" s="5"/>
      <c r="J38" s="13">
        <f>IF(H$12=0,0,H38/H$12)</f>
        <v>0</v>
      </c>
      <c r="K38" s="5"/>
      <c r="L38" s="5">
        <f>+D38-H38</f>
        <v>650.54999999999995</v>
      </c>
      <c r="M38" s="5"/>
      <c r="N38" s="13">
        <f>IF(H38=0,0,L38/H38)</f>
        <v>0</v>
      </c>
      <c r="O38" s="11"/>
      <c r="P38" s="5">
        <v>1814.39</v>
      </c>
      <c r="Q38" s="5"/>
      <c r="R38" s="13">
        <f>IF(P$12=0,0,P38/P$12)</f>
        <v>0.12482267844636738</v>
      </c>
      <c r="S38" s="5"/>
      <c r="T38" s="5"/>
      <c r="U38" s="5"/>
      <c r="V38" s="13">
        <f>IF(T$12=0,0,T38/T$12)</f>
        <v>0</v>
      </c>
      <c r="W38" s="5"/>
      <c r="X38" s="5">
        <f>+P38-T38</f>
        <v>1814.39</v>
      </c>
      <c r="Y38" s="5"/>
      <c r="Z38" s="13">
        <f>IF(T38=0,0,X38/T38)</f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8" t="s">
        <v>294</v>
      </c>
      <c r="C40" s="28"/>
      <c r="D40" s="33">
        <f>+D36-D38</f>
        <v>864.39000000000101</v>
      </c>
      <c r="E40" s="15"/>
      <c r="F40" s="32">
        <f>IF(D$12=0,0,D40/D$12)</f>
        <v>0.15050485176563194</v>
      </c>
      <c r="G40" s="15"/>
      <c r="H40" s="33">
        <f>+H36-H38</f>
        <v>-1001</v>
      </c>
      <c r="I40" s="15"/>
      <c r="J40" s="32">
        <f>IF(H$12=0,0,H40/H$12)</f>
        <v>0</v>
      </c>
      <c r="K40" s="16"/>
      <c r="L40" s="33">
        <f>D40-H40</f>
        <v>1865.390000000001</v>
      </c>
      <c r="M40" s="16"/>
      <c r="N40" s="32">
        <f>IF(H40=0,0,L40/H40)</f>
        <v>-1.8635264735264745</v>
      </c>
      <c r="O40" s="27"/>
      <c r="P40" s="33">
        <f>+P36-P38</f>
        <v>-11036.36</v>
      </c>
      <c r="Q40" s="15"/>
      <c r="R40" s="32">
        <f>IF(P$12=0,0,P40/P$12)</f>
        <v>-0.75925683866112081</v>
      </c>
      <c r="S40" s="15"/>
      <c r="T40" s="33">
        <f>+T36-T38</f>
        <v>-8008</v>
      </c>
      <c r="U40" s="15"/>
      <c r="V40" s="32">
        <f>IF(T$12=0,0,T40/T$12)</f>
        <v>0</v>
      </c>
      <c r="W40" s="16"/>
      <c r="X40" s="33">
        <f>P40-T40</f>
        <v>-3028.3600000000006</v>
      </c>
      <c r="Y40" s="16"/>
      <c r="Z40" s="32">
        <f>IF(T40=0,0,X40/T40)</f>
        <v>0.37816683316683325</v>
      </c>
    </row>
    <row r="41" spans="1:26" ht="15" customHeight="1" x14ac:dyDescent="0.3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ht="15" customHeight="1" x14ac:dyDescent="0.3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s="63" customFormat="1" ht="15" customHeight="1" x14ac:dyDescent="0.3">
      <c r="A43" s="11"/>
      <c r="B43" s="28" t="s">
        <v>297</v>
      </c>
      <c r="C43" s="28"/>
      <c r="D43" s="34">
        <f>SUM(D40:D42)</f>
        <v>864.39000000000101</v>
      </c>
      <c r="E43" s="15"/>
      <c r="F43" s="30">
        <f>IF(D$12=0,0,D43/D$12)</f>
        <v>0.15050485176563194</v>
      </c>
      <c r="G43" s="15"/>
      <c r="H43" s="34">
        <f>SUM(H40:H42)</f>
        <v>-1001</v>
      </c>
      <c r="I43" s="15"/>
      <c r="J43" s="30">
        <f>IF(H$12=0,0,H43/H$12)</f>
        <v>0</v>
      </c>
      <c r="K43" s="16"/>
      <c r="L43" s="34">
        <f>+D43-H43</f>
        <v>1865.390000000001</v>
      </c>
      <c r="M43" s="16"/>
      <c r="N43" s="30">
        <f>IF(H43=0,0,L43/H43)</f>
        <v>-1.8635264735264745</v>
      </c>
      <c r="O43" s="27"/>
      <c r="P43" s="34">
        <f>SUM(P40:P42)</f>
        <v>-11036.36</v>
      </c>
      <c r="Q43" s="15"/>
      <c r="R43" s="30">
        <f>IF(P$12=0,0,P43/P$12)</f>
        <v>-0.75925683866112081</v>
      </c>
      <c r="S43" s="15"/>
      <c r="T43" s="34">
        <f>SUM(T40:T42)</f>
        <v>-8008</v>
      </c>
      <c r="U43" s="15"/>
      <c r="V43" s="30">
        <f>IF(T$12=0,0,T43/T$12)</f>
        <v>0</v>
      </c>
      <c r="W43" s="16"/>
      <c r="X43" s="34">
        <f>+P43-T43</f>
        <v>-3028.3600000000006</v>
      </c>
      <c r="Y43" s="16"/>
      <c r="Z43" s="30">
        <f>IF(T43=0,0,X43/T43)</f>
        <v>0.37816683316683325</v>
      </c>
    </row>
    <row r="44" spans="1:26" ht="15" customHeight="1" x14ac:dyDescent="0.3">
      <c r="A44" s="10"/>
      <c r="C44" s="10"/>
      <c r="D44" s="19"/>
      <c r="E44" s="19"/>
      <c r="G44" s="19"/>
      <c r="H44" s="19"/>
      <c r="I44" s="19"/>
      <c r="J44" s="41"/>
      <c r="K44" s="19"/>
      <c r="L44" s="19"/>
      <c r="M44" s="19"/>
      <c r="P44" s="19"/>
      <c r="Q44" s="19"/>
      <c r="R44" s="41"/>
      <c r="S44" s="19"/>
      <c r="T44" s="19"/>
      <c r="U44" s="19"/>
      <c r="V44" s="41"/>
      <c r="W44" s="19"/>
      <c r="X44" s="19"/>
    </row>
    <row r="45" spans="1:26" ht="15" customHeight="1" x14ac:dyDescent="0.3">
      <c r="A45" s="10"/>
      <c r="B45" s="57">
        <v>44634.883430555557</v>
      </c>
      <c r="D45" s="19"/>
      <c r="E45" s="19"/>
      <c r="G45" s="19"/>
      <c r="H45" s="19"/>
      <c r="I45" s="19"/>
      <c r="J45" s="41"/>
      <c r="K45" s="19"/>
      <c r="L45" s="19"/>
      <c r="M45" s="19"/>
      <c r="P45" s="19"/>
      <c r="Q45" s="19"/>
      <c r="R45" s="41"/>
      <c r="S45" s="19"/>
      <c r="T45" s="19"/>
      <c r="U45" s="19"/>
      <c r="V45" s="41"/>
      <c r="W45" s="19"/>
      <c r="X45" s="19"/>
    </row>
    <row r="46" spans="1:26" ht="15" customHeight="1" x14ac:dyDescent="0.3">
      <c r="A46" s="10"/>
      <c r="B46" s="56" t="s">
        <v>298</v>
      </c>
      <c r="D46" s="19"/>
      <c r="E46" s="19"/>
      <c r="G46" s="19"/>
      <c r="H46" s="19"/>
      <c r="I46" s="19"/>
      <c r="J46" s="41"/>
      <c r="K46" s="19"/>
      <c r="L46" s="19"/>
      <c r="M46" s="19"/>
      <c r="P46" s="19"/>
      <c r="Q46" s="19"/>
      <c r="R46" s="41"/>
      <c r="S46" s="19"/>
      <c r="T46" s="19"/>
      <c r="U46" s="19"/>
      <c r="V46" s="41"/>
      <c r="W46" s="19"/>
      <c r="X46" s="19"/>
    </row>
    <row r="47" spans="1:26" ht="15" customHeight="1" x14ac:dyDescent="0.3">
      <c r="A47" s="10"/>
      <c r="B47" s="54"/>
      <c r="D47" s="19"/>
      <c r="E47" s="19"/>
      <c r="G47" s="19"/>
      <c r="H47" s="19"/>
      <c r="I47" s="19"/>
      <c r="J47" s="41"/>
      <c r="K47" s="19"/>
      <c r="L47" s="19"/>
      <c r="M47" s="19"/>
      <c r="P47" s="19"/>
      <c r="Q47" s="19"/>
      <c r="R47" s="41"/>
      <c r="S47" s="19"/>
      <c r="T47" s="19"/>
      <c r="U47" s="19"/>
      <c r="V47" s="41"/>
      <c r="W47" s="19"/>
      <c r="X47" s="19"/>
    </row>
    <row r="48" spans="1:26" ht="15" customHeight="1" x14ac:dyDescent="0.3">
      <c r="D48" s="19"/>
      <c r="E48" s="19"/>
      <c r="G48" s="19"/>
      <c r="H48" s="19"/>
      <c r="I48" s="19"/>
      <c r="J48" s="41"/>
      <c r="K48" s="19"/>
      <c r="L48" s="19"/>
      <c r="M48" s="19"/>
      <c r="P48" s="19"/>
      <c r="Q48" s="19"/>
      <c r="R48" s="41"/>
      <c r="S48" s="19"/>
      <c r="T48" s="19"/>
      <c r="U48" s="19"/>
      <c r="V48" s="41"/>
      <c r="W48" s="19"/>
      <c r="X48" s="19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7DBE7-965D-9C49-6D0D-6437A2A6562F}">
  <sheetPr>
    <tabColor rgb="FFFFFF00"/>
    <outlinePr summaryBelow="0" summaryRight="0"/>
  </sheetPr>
  <dimension ref="A2:Z11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313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1390818.4</v>
      </c>
      <c r="E12" s="5"/>
      <c r="F12" s="13"/>
      <c r="G12" s="5"/>
      <c r="H12" s="5">
        <f>SUM(OSRRefH13x_0)</f>
        <v>1128960</v>
      </c>
      <c r="I12" s="5"/>
      <c r="J12" s="13"/>
      <c r="K12" s="5"/>
      <c r="L12" s="5">
        <f>+D12-H12</f>
        <v>261858.39999999991</v>
      </c>
      <c r="M12" s="5"/>
      <c r="N12" s="13">
        <f>IF(H12=0,0,L12/H12)</f>
        <v>0.23194657029478449</v>
      </c>
      <c r="O12" s="11"/>
      <c r="P12" s="5">
        <f>SUM(OSRRefP13x_0)</f>
        <v>7817149.8600000003</v>
      </c>
      <c r="Q12" s="5"/>
      <c r="R12" s="13"/>
      <c r="S12" s="5"/>
      <c r="T12" s="5">
        <f>SUM(OSRRefT13x_0)</f>
        <v>6088320</v>
      </c>
      <c r="U12" s="5"/>
      <c r="V12" s="13"/>
      <c r="W12" s="5"/>
      <c r="X12" s="5">
        <f>+P12-T12</f>
        <v>1728829.8600000003</v>
      </c>
      <c r="Y12" s="5"/>
      <c r="Z12" s="13">
        <f>IF(T12=0,0,X12/T12)</f>
        <v>0.28395844173762225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--428.28</f>
        <v>428.28</v>
      </c>
      <c r="E13" s="3"/>
      <c r="F13" s="20"/>
      <c r="G13" s="3"/>
      <c r="H13" s="3"/>
      <c r="I13" s="3"/>
      <c r="J13" s="20"/>
      <c r="K13" s="3"/>
      <c r="L13" s="3">
        <f>+D13-H13</f>
        <v>428.28</v>
      </c>
      <c r="M13" s="3"/>
      <c r="N13" s="20">
        <f>IF(H13=0,0,L13/H13)</f>
        <v>0</v>
      </c>
      <c r="O13" s="12"/>
      <c r="P13" s="3">
        <f>--3112.24</f>
        <v>3112.24</v>
      </c>
      <c r="Q13" s="3"/>
      <c r="R13" s="20"/>
      <c r="S13" s="3"/>
      <c r="T13" s="3"/>
      <c r="U13" s="3"/>
      <c r="V13" s="20"/>
      <c r="W13" s="3"/>
      <c r="X13" s="3">
        <f>+P13-T13</f>
        <v>3112.24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1128960</v>
      </c>
      <c r="I14" s="3"/>
      <c r="J14" s="20"/>
      <c r="K14" s="3"/>
      <c r="L14" s="3">
        <f>+D14-H14</f>
        <v>-1128960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6088320</v>
      </c>
      <c r="U14" s="3"/>
      <c r="V14" s="20"/>
      <c r="W14" s="3"/>
      <c r="X14" s="3">
        <f>+P14-T14</f>
        <v>-6088320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--1371084.16</f>
        <v>1371084.16</v>
      </c>
      <c r="E15" s="3"/>
      <c r="F15" s="20"/>
      <c r="G15" s="3"/>
      <c r="H15" s="3"/>
      <c r="I15" s="3"/>
      <c r="J15" s="20"/>
      <c r="K15" s="3"/>
      <c r="L15" s="3">
        <f>+D15-H15</f>
        <v>1371084.16</v>
      </c>
      <c r="M15" s="3"/>
      <c r="N15" s="20">
        <f>IF(H15=0,0,L15/H15)</f>
        <v>0</v>
      </c>
      <c r="O15" s="12"/>
      <c r="P15" s="3">
        <f>--7733250.34</f>
        <v>7733250.3399999999</v>
      </c>
      <c r="Q15" s="3"/>
      <c r="R15" s="20"/>
      <c r="S15" s="3"/>
      <c r="T15" s="3"/>
      <c r="U15" s="3"/>
      <c r="V15" s="20"/>
      <c r="W15" s="3"/>
      <c r="X15" s="3">
        <f>+P15-T15</f>
        <v>7733250.3399999999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--19305.96</f>
        <v>19305.96</v>
      </c>
      <c r="E16" s="3"/>
      <c r="F16" s="20"/>
      <c r="G16" s="3"/>
      <c r="H16" s="3"/>
      <c r="I16" s="3"/>
      <c r="J16" s="20"/>
      <c r="K16" s="3"/>
      <c r="L16" s="3">
        <f>+D16-H16</f>
        <v>19305.96</v>
      </c>
      <c r="M16" s="3"/>
      <c r="N16" s="20">
        <f>IF(H16=0,0,L16/H16)</f>
        <v>0</v>
      </c>
      <c r="O16" s="12"/>
      <c r="P16" s="3">
        <f>--80787.28</f>
        <v>80787.28</v>
      </c>
      <c r="Q16" s="3"/>
      <c r="R16" s="20"/>
      <c r="S16" s="3"/>
      <c r="T16" s="3"/>
      <c r="U16" s="3"/>
      <c r="V16" s="20"/>
      <c r="W16" s="3"/>
      <c r="X16" s="3">
        <f>+P16-T16</f>
        <v>80787.28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308484.09000000003</v>
      </c>
      <c r="E18" s="5"/>
      <c r="F18" s="13">
        <f>IF(D$12=0,0,D18/D$12)</f>
        <v>0.22180040902536236</v>
      </c>
      <c r="G18" s="5"/>
      <c r="H18" s="5">
        <f>SUM(OSRRefH16x_0)</f>
        <v>291110</v>
      </c>
      <c r="I18" s="5"/>
      <c r="J18" s="13">
        <f>IF(H$12=0,0,H18/H$12)</f>
        <v>0.25785678854875282</v>
      </c>
      <c r="K18" s="5"/>
      <c r="L18" s="5">
        <f>+D18-H18</f>
        <v>17374.090000000026</v>
      </c>
      <c r="M18" s="5"/>
      <c r="N18" s="13">
        <f>IF(H18=0,0,L18/H18)</f>
        <v>5.9682216344337277E-2</v>
      </c>
      <c r="O18" s="11"/>
      <c r="P18" s="5">
        <f>SUM(OSRRefP16x_0)</f>
        <v>1911293.38</v>
      </c>
      <c r="Q18" s="5"/>
      <c r="R18" s="13">
        <f>IF(P$12=0,0,P18/P$12)</f>
        <v>0.24450003060322548</v>
      </c>
      <c r="S18" s="5"/>
      <c r="T18" s="5">
        <f>SUM(OSRRefT16x_0)</f>
        <v>1708475</v>
      </c>
      <c r="U18" s="5"/>
      <c r="V18" s="13">
        <f>IF(T$12=0,0,T18/T$12)</f>
        <v>0.28061517791443286</v>
      </c>
      <c r="W18" s="5"/>
      <c r="X18" s="5">
        <f>+P18-T18</f>
        <v>202818.37999999989</v>
      </c>
      <c r="Y18" s="5"/>
      <c r="Z18" s="13">
        <f>IF(T18=0,0,X18/T18)</f>
        <v>0.118713109644566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291110</v>
      </c>
      <c r="I19" s="3"/>
      <c r="J19" s="20">
        <f>IF(H$12=0,0,H19/H$12)</f>
        <v>0.25785678854875282</v>
      </c>
      <c r="K19" s="3"/>
      <c r="L19" s="3">
        <f>+D19-H19</f>
        <v>-291110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1708475</v>
      </c>
      <c r="U19" s="3"/>
      <c r="V19" s="20">
        <f>IF(T$12=0,0,T19/T$12)</f>
        <v>0.28061517791443286</v>
      </c>
      <c r="W19" s="3"/>
      <c r="X19" s="3">
        <f>+P19-T19</f>
        <v>-1708475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322359.09000000003</v>
      </c>
      <c r="E20" s="3"/>
      <c r="F20" s="20">
        <f>IF(D$12=0,0,D20/D$12)</f>
        <v>0.23177654969189368</v>
      </c>
      <c r="G20" s="3"/>
      <c r="H20" s="3"/>
      <c r="I20" s="3"/>
      <c r="J20" s="20">
        <f>IF(H$12=0,0,H20/H$12)</f>
        <v>0</v>
      </c>
      <c r="K20" s="3"/>
      <c r="L20" s="3">
        <f>+D20-H20</f>
        <v>322359.09000000003</v>
      </c>
      <c r="M20" s="3"/>
      <c r="N20" s="20">
        <f>IF(H20=0,0,L20/H20)</f>
        <v>0</v>
      </c>
      <c r="O20" s="12"/>
      <c r="P20" s="3">
        <v>1965027.44</v>
      </c>
      <c r="Q20" s="3"/>
      <c r="R20" s="20">
        <f>IF(P$12=0,0,P20/P$12)</f>
        <v>0.25137389907988789</v>
      </c>
      <c r="S20" s="3"/>
      <c r="T20" s="3"/>
      <c r="U20" s="3"/>
      <c r="V20" s="20">
        <f>IF(T$12=0,0,T20/T$12)</f>
        <v>0</v>
      </c>
      <c r="W20" s="3"/>
      <c r="X20" s="3">
        <f>+P20-T20</f>
        <v>1965027.44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-13875</v>
      </c>
      <c r="E21" s="3"/>
      <c r="F21" s="20">
        <f>IF(D$12=0,0,D21/D$12)</f>
        <v>-9.9761406665313038E-3</v>
      </c>
      <c r="G21" s="3"/>
      <c r="H21" s="3"/>
      <c r="I21" s="3"/>
      <c r="J21" s="20">
        <f>IF(H$12=0,0,H21/H$12)</f>
        <v>0</v>
      </c>
      <c r="K21" s="3"/>
      <c r="L21" s="3">
        <f>+D21-H21</f>
        <v>-13875</v>
      </c>
      <c r="M21" s="3"/>
      <c r="N21" s="20">
        <f>IF(H21=0,0,L21/H21)</f>
        <v>0</v>
      </c>
      <c r="O21" s="12"/>
      <c r="P21" s="3">
        <v>-53734.06</v>
      </c>
      <c r="Q21" s="3"/>
      <c r="R21" s="20">
        <f>IF(P$12=0,0,P21/P$12)</f>
        <v>-6.8738684766624127E-3</v>
      </c>
      <c r="S21" s="3"/>
      <c r="T21" s="3"/>
      <c r="U21" s="3"/>
      <c r="V21" s="20">
        <f>IF(T$12=0,0,T21/T$12)</f>
        <v>0</v>
      </c>
      <c r="W21" s="3"/>
      <c r="X21" s="3">
        <f>+P21-T21</f>
        <v>-53734.06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D12-D18</f>
        <v>1082334.3099999998</v>
      </c>
      <c r="E23" s="15"/>
      <c r="F23" s="22">
        <f>IF(D$12=0,0,D23/D$12)</f>
        <v>0.77819959097463764</v>
      </c>
      <c r="G23" s="15"/>
      <c r="H23" s="21">
        <f>H12-H18</f>
        <v>837850</v>
      </c>
      <c r="I23" s="15"/>
      <c r="J23" s="22">
        <f>IF(H$12=0,0,H23/H$12)</f>
        <v>0.74214321145124718</v>
      </c>
      <c r="K23" s="16"/>
      <c r="L23" s="21">
        <f>+D23-H23</f>
        <v>244484.30999999982</v>
      </c>
      <c r="M23" s="16"/>
      <c r="N23" s="22">
        <f>IF(H23=0,0,L23/H23)</f>
        <v>0.29179961807006005</v>
      </c>
      <c r="O23" s="27"/>
      <c r="P23" s="21">
        <f>P12-P18</f>
        <v>5905856.4800000004</v>
      </c>
      <c r="Q23" s="15"/>
      <c r="R23" s="22">
        <f>IF(P$12=0,0,P23/P$12)</f>
        <v>0.75549996939677455</v>
      </c>
      <c r="S23" s="15"/>
      <c r="T23" s="21">
        <f>T12-T18</f>
        <v>4379845</v>
      </c>
      <c r="U23" s="15"/>
      <c r="V23" s="22">
        <f>IF(T$12=0,0,T23/T$12)</f>
        <v>0.71938482208556709</v>
      </c>
      <c r="W23" s="16"/>
      <c r="X23" s="21">
        <f>+P23-T23</f>
        <v>1526011.4800000004</v>
      </c>
      <c r="Y23" s="16"/>
      <c r="Z23" s="22">
        <f>IF(T23=0,0,X23/T23)</f>
        <v>0.34841677730604631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533998.94999999995</v>
      </c>
      <c r="E25" s="23"/>
      <c r="F25" s="29">
        <f t="shared" ref="F25:F56" si="0">IF(D$12=0,0,D25/D$12)</f>
        <v>0.38394584799855969</v>
      </c>
      <c r="G25" s="23"/>
      <c r="H25" s="23" cm="1">
        <f t="array" ref="H25">SUM(OSRRefH22x_0)</f>
        <v>562773.47823726607</v>
      </c>
      <c r="I25" s="23"/>
      <c r="J25" s="29">
        <f t="shared" ref="J25:J56" si="1">IF(H$12=0,0,H25/H$12)</f>
        <v>0.49848841255426768</v>
      </c>
      <c r="K25" s="5"/>
      <c r="L25" s="23">
        <f t="shared" ref="L25:L56" si="2">+D25-H25</f>
        <v>-28774.528237266117</v>
      </c>
      <c r="M25" s="5"/>
      <c r="N25" s="29">
        <f t="shared" ref="N25:N56" si="3">IF(H25=0,0,L25/H25)</f>
        <v>-5.1129858371070459E-2</v>
      </c>
      <c r="O25" s="11"/>
      <c r="P25" s="23" cm="1">
        <f t="array" ref="P25">SUM(OSRRefP22x_0)</f>
        <v>3587967.7199999988</v>
      </c>
      <c r="Q25" s="23"/>
      <c r="R25" s="29">
        <f t="shared" ref="R25:R56" si="4">IF(P$12=0,0,P25/P$12)</f>
        <v>0.45898668750863614</v>
      </c>
      <c r="S25" s="23"/>
      <c r="T25" s="23" cm="1">
        <f t="array" ref="T25">SUM(OSRRefT22x_0)</f>
        <v>4058959.9671467771</v>
      </c>
      <c r="U25" s="23"/>
      <c r="V25" s="29">
        <f t="shared" ref="V25:V56" si="5">IF(T$12=0,0,T25/T$12)</f>
        <v>0.66667980118436232</v>
      </c>
      <c r="W25" s="5"/>
      <c r="X25" s="23">
        <f t="shared" ref="X25:X56" si="6">+P25-T25</f>
        <v>-470992.24714677827</v>
      </c>
      <c r="Y25" s="5"/>
      <c r="Z25" s="29">
        <f t="shared" ref="Z25:Z56" si="7">IF(T25=0,0,X25/T25)</f>
        <v>-0.11603766752049531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86590.239999999991</v>
      </c>
      <c r="E26" s="2"/>
      <c r="F26" s="6">
        <f t="shared" si="0"/>
        <v>6.2258480330717507E-2</v>
      </c>
      <c r="G26" s="2"/>
      <c r="H26" s="2">
        <f>SUM(OSRRefH22_0x_0)</f>
        <v>108635.02928341995</v>
      </c>
      <c r="I26" s="2"/>
      <c r="J26" s="6">
        <f t="shared" si="1"/>
        <v>9.6225755813686892E-2</v>
      </c>
      <c r="K26" s="2"/>
      <c r="L26" s="2">
        <f t="shared" si="2"/>
        <v>-22044.789283419959</v>
      </c>
      <c r="M26" s="2"/>
      <c r="N26" s="6">
        <f t="shared" si="3"/>
        <v>-0.20292523902126355</v>
      </c>
      <c r="O26" s="14"/>
      <c r="P26" s="2">
        <f>SUM(OSRRefP22_0x_0)</f>
        <v>687293.56000000017</v>
      </c>
      <c r="Q26" s="2"/>
      <c r="R26" s="6">
        <f t="shared" si="4"/>
        <v>8.7921246529614333E-2</v>
      </c>
      <c r="S26" s="2"/>
      <c r="T26" s="2">
        <f>SUM(OSRRefT22_0x_0)</f>
        <v>905757.34730062459</v>
      </c>
      <c r="U26" s="2"/>
      <c r="V26" s="6">
        <f t="shared" si="5"/>
        <v>0.14876966836510311</v>
      </c>
      <c r="W26" s="2"/>
      <c r="X26" s="2">
        <f t="shared" si="6"/>
        <v>-218463.78730062442</v>
      </c>
      <c r="Y26" s="2"/>
      <c r="Z26" s="6">
        <f t="shared" si="7"/>
        <v>-0.24119460686871513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12469.87</v>
      </c>
      <c r="E27" s="3"/>
      <c r="F27" s="7">
        <f t="shared" si="0"/>
        <v>8.9658506099717997E-3</v>
      </c>
      <c r="G27" s="3"/>
      <c r="H27" s="8">
        <v>11629.1890418815</v>
      </c>
      <c r="I27" s="3"/>
      <c r="J27" s="7">
        <f t="shared" si="1"/>
        <v>1.0300798116745943E-2</v>
      </c>
      <c r="K27" s="3"/>
      <c r="L27" s="8">
        <f t="shared" si="2"/>
        <v>840.68095811850071</v>
      </c>
      <c r="M27" s="3"/>
      <c r="N27" s="7">
        <f t="shared" si="3"/>
        <v>7.2290591810904636E-2</v>
      </c>
      <c r="O27" s="12"/>
      <c r="P27" s="8">
        <v>94169.85</v>
      </c>
      <c r="Q27" s="3"/>
      <c r="R27" s="7">
        <f t="shared" si="4"/>
        <v>1.204657089687673E-2</v>
      </c>
      <c r="S27" s="3"/>
      <c r="T27" s="8">
        <v>103049.005247163</v>
      </c>
      <c r="U27" s="3"/>
      <c r="V27" s="7">
        <f t="shared" si="5"/>
        <v>1.6925688079332722E-2</v>
      </c>
      <c r="W27" s="3"/>
      <c r="X27" s="8">
        <f t="shared" si="6"/>
        <v>-8879.1552471629984</v>
      </c>
      <c r="Y27" s="3"/>
      <c r="Z27" s="7">
        <f t="shared" si="7"/>
        <v>-8.6164395530712284E-2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9321.7199999999993</v>
      </c>
      <c r="E28" s="3"/>
      <c r="F28" s="7">
        <f t="shared" si="0"/>
        <v>6.7023272053346435E-3</v>
      </c>
      <c r="G28" s="3"/>
      <c r="H28" s="8">
        <v>11371.521778292299</v>
      </c>
      <c r="I28" s="3"/>
      <c r="J28" s="7">
        <f t="shared" si="1"/>
        <v>1.0072563933436347E-2</v>
      </c>
      <c r="K28" s="3"/>
      <c r="L28" s="8">
        <f t="shared" si="2"/>
        <v>-2049.8017782922998</v>
      </c>
      <c r="M28" s="3"/>
      <c r="N28" s="7">
        <f t="shared" si="3"/>
        <v>-0.18025747285691129</v>
      </c>
      <c r="O28" s="12"/>
      <c r="P28" s="8">
        <v>58726.55</v>
      </c>
      <c r="Q28" s="3"/>
      <c r="R28" s="7">
        <f t="shared" si="4"/>
        <v>7.5125270785073575E-3</v>
      </c>
      <c r="S28" s="3"/>
      <c r="T28" s="8">
        <v>81997.865606057705</v>
      </c>
      <c r="U28" s="3"/>
      <c r="V28" s="7">
        <f t="shared" si="5"/>
        <v>1.3468061075314324E-2</v>
      </c>
      <c r="W28" s="3"/>
      <c r="X28" s="8">
        <f t="shared" si="6"/>
        <v>-23271.315606057702</v>
      </c>
      <c r="Y28" s="3"/>
      <c r="Z28" s="7">
        <f t="shared" si="7"/>
        <v>-0.28380391896857499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43181.120000000003</v>
      </c>
      <c r="E29" s="3"/>
      <c r="F29" s="7">
        <f t="shared" si="0"/>
        <v>3.104727403663915E-2</v>
      </c>
      <c r="G29" s="3"/>
      <c r="H29" s="8">
        <v>61886.692307692298</v>
      </c>
      <c r="I29" s="3"/>
      <c r="J29" s="7">
        <f t="shared" si="1"/>
        <v>5.4817435788417919E-2</v>
      </c>
      <c r="K29" s="3"/>
      <c r="L29" s="8">
        <f t="shared" si="2"/>
        <v>-18705.572307692295</v>
      </c>
      <c r="M29" s="3"/>
      <c r="N29" s="7">
        <f t="shared" si="3"/>
        <v>-0.30225516359301785</v>
      </c>
      <c r="O29" s="12"/>
      <c r="P29" s="8">
        <v>344125.94</v>
      </c>
      <c r="Q29" s="3"/>
      <c r="R29" s="7">
        <f t="shared" si="4"/>
        <v>4.4021919262527735E-2</v>
      </c>
      <c r="S29" s="3"/>
      <c r="T29" s="8">
        <v>531078.30769230798</v>
      </c>
      <c r="U29" s="3"/>
      <c r="V29" s="7">
        <f t="shared" si="5"/>
        <v>8.7229039815960391E-2</v>
      </c>
      <c r="W29" s="3"/>
      <c r="X29" s="8">
        <f t="shared" si="6"/>
        <v>-186952.36769230798</v>
      </c>
      <c r="Y29" s="3"/>
      <c r="Z29" s="7">
        <f t="shared" si="7"/>
        <v>-0.3520241082801352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673.26</v>
      </c>
      <c r="E30" s="3"/>
      <c r="F30" s="7">
        <f t="shared" si="0"/>
        <v>4.8407470019090919E-4</v>
      </c>
      <c r="G30" s="3"/>
      <c r="H30" s="8">
        <v>630.08432016923098</v>
      </c>
      <c r="I30" s="3"/>
      <c r="J30" s="7">
        <f t="shared" si="1"/>
        <v>5.5811040264423101E-4</v>
      </c>
      <c r="K30" s="3"/>
      <c r="L30" s="8">
        <f t="shared" si="2"/>
        <v>43.175679830769013</v>
      </c>
      <c r="M30" s="3"/>
      <c r="N30" s="7">
        <f t="shared" si="3"/>
        <v>6.8523653816956895E-2</v>
      </c>
      <c r="O30" s="12"/>
      <c r="P30" s="8">
        <v>4241.38</v>
      </c>
      <c r="Q30" s="3"/>
      <c r="R30" s="7">
        <f t="shared" si="4"/>
        <v>5.4257370985081764E-4</v>
      </c>
      <c r="S30" s="3"/>
      <c r="T30" s="8">
        <v>4543.4173554807703</v>
      </c>
      <c r="U30" s="3"/>
      <c r="V30" s="7">
        <f t="shared" si="5"/>
        <v>7.4625140522849819E-4</v>
      </c>
      <c r="W30" s="3"/>
      <c r="X30" s="8">
        <f t="shared" si="6"/>
        <v>-302.0373554807702</v>
      </c>
      <c r="Y30" s="3"/>
      <c r="Z30" s="7">
        <f t="shared" si="7"/>
        <v>-6.6478012440661982E-2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3917.83</v>
      </c>
      <c r="E31" s="3"/>
      <c r="F31" s="7">
        <f t="shared" si="0"/>
        <v>2.8169241936977537E-3</v>
      </c>
      <c r="G31" s="3"/>
      <c r="H31" s="8">
        <v>3855.08832769231</v>
      </c>
      <c r="I31" s="3"/>
      <c r="J31" s="7">
        <f t="shared" si="1"/>
        <v>3.4147253469496795E-3</v>
      </c>
      <c r="K31" s="3"/>
      <c r="L31" s="8">
        <f t="shared" si="2"/>
        <v>62.741672307689896</v>
      </c>
      <c r="M31" s="3"/>
      <c r="N31" s="7">
        <f t="shared" si="3"/>
        <v>1.6275028475222414E-2</v>
      </c>
      <c r="O31" s="12"/>
      <c r="P31" s="8">
        <v>33423.33</v>
      </c>
      <c r="Q31" s="3"/>
      <c r="R31" s="7">
        <f t="shared" si="4"/>
        <v>4.2756414548255827E-3</v>
      </c>
      <c r="S31" s="3"/>
      <c r="T31" s="8">
        <v>33581.797207307704</v>
      </c>
      <c r="U31" s="3"/>
      <c r="V31" s="7">
        <f t="shared" si="5"/>
        <v>5.515774007822799E-3</v>
      </c>
      <c r="W31" s="3"/>
      <c r="X31" s="8">
        <f t="shared" si="6"/>
        <v>-158.46720730770176</v>
      </c>
      <c r="Y31" s="3"/>
      <c r="Z31" s="7">
        <f t="shared" si="7"/>
        <v>-4.7188423636010121E-3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8">
        <v>1870.09</v>
      </c>
      <c r="E33" s="3"/>
      <c r="F33" s="7">
        <f t="shared" si="0"/>
        <v>1.3445968215548487E-3</v>
      </c>
      <c r="G33" s="3"/>
      <c r="H33" s="8"/>
      <c r="I33" s="3"/>
      <c r="J33" s="7">
        <f t="shared" si="1"/>
        <v>0</v>
      </c>
      <c r="K33" s="3"/>
      <c r="L33" s="8">
        <f t="shared" si="2"/>
        <v>1870.09</v>
      </c>
      <c r="M33" s="3"/>
      <c r="N33" s="7">
        <f t="shared" si="3"/>
        <v>0</v>
      </c>
      <c r="O33" s="12"/>
      <c r="P33" s="8">
        <v>13855.5</v>
      </c>
      <c r="Q33" s="3"/>
      <c r="R33" s="7">
        <f t="shared" si="4"/>
        <v>1.7724490700757782E-3</v>
      </c>
      <c r="S33" s="3"/>
      <c r="T33" s="8"/>
      <c r="U33" s="3"/>
      <c r="V33" s="7">
        <f t="shared" si="5"/>
        <v>0</v>
      </c>
      <c r="W33" s="3"/>
      <c r="X33" s="8">
        <f t="shared" si="6"/>
        <v>13855.5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6837.23</v>
      </c>
      <c r="E34" s="3"/>
      <c r="F34" s="7">
        <f t="shared" si="0"/>
        <v>4.9159760900488519E-3</v>
      </c>
      <c r="G34" s="3"/>
      <c r="H34" s="8">
        <v>5681.2654538461502</v>
      </c>
      <c r="I34" s="3"/>
      <c r="J34" s="7">
        <f t="shared" si="1"/>
        <v>5.0323000406091896E-3</v>
      </c>
      <c r="K34" s="3"/>
      <c r="L34" s="8">
        <f t="shared" si="2"/>
        <v>1155.9645461538494</v>
      </c>
      <c r="M34" s="3"/>
      <c r="N34" s="7">
        <f t="shared" si="3"/>
        <v>0.20346955366630068</v>
      </c>
      <c r="O34" s="12"/>
      <c r="P34" s="8">
        <v>63757.55</v>
      </c>
      <c r="Q34" s="3"/>
      <c r="R34" s="7">
        <f t="shared" si="4"/>
        <v>8.1561120282782965E-3</v>
      </c>
      <c r="S34" s="3"/>
      <c r="T34" s="8">
        <v>49658.668421153801</v>
      </c>
      <c r="U34" s="3"/>
      <c r="V34" s="7">
        <f t="shared" si="5"/>
        <v>8.1563827823034601E-3</v>
      </c>
      <c r="W34" s="3"/>
      <c r="X34" s="8">
        <f t="shared" si="6"/>
        <v>14098.881578846202</v>
      </c>
      <c r="Y34" s="3"/>
      <c r="Z34" s="7">
        <f t="shared" si="7"/>
        <v>0.2839158202808415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5136.6899999999996</v>
      </c>
      <c r="E35" s="3"/>
      <c r="F35" s="7">
        <f t="shared" si="0"/>
        <v>3.6932859099361929E-3</v>
      </c>
      <c r="G35" s="3"/>
      <c r="H35" s="8">
        <v>9381.1880538461501</v>
      </c>
      <c r="I35" s="3"/>
      <c r="J35" s="7">
        <f t="shared" si="1"/>
        <v>8.3095840896454699E-3</v>
      </c>
      <c r="K35" s="3"/>
      <c r="L35" s="8">
        <f t="shared" si="2"/>
        <v>-4244.4980538461505</v>
      </c>
      <c r="M35" s="3"/>
      <c r="N35" s="7">
        <f t="shared" si="3"/>
        <v>-0.45244781678861756</v>
      </c>
      <c r="O35" s="12"/>
      <c r="P35" s="8">
        <v>49181.91</v>
      </c>
      <c r="Q35" s="3"/>
      <c r="R35" s="7">
        <f t="shared" si="4"/>
        <v>6.291539868214833E-3</v>
      </c>
      <c r="S35" s="3"/>
      <c r="T35" s="8">
        <v>68248.285771153794</v>
      </c>
      <c r="U35" s="3"/>
      <c r="V35" s="7">
        <f t="shared" si="5"/>
        <v>1.1209707402231452E-2</v>
      </c>
      <c r="W35" s="3"/>
      <c r="X35" s="8">
        <f t="shared" si="6"/>
        <v>-19066.375771153791</v>
      </c>
      <c r="Y35" s="3"/>
      <c r="Z35" s="7">
        <f t="shared" si="7"/>
        <v>-0.2793678340154368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3182.43</v>
      </c>
      <c r="E36" s="3"/>
      <c r="F36" s="7">
        <f t="shared" si="0"/>
        <v>2.2881707633433668E-3</v>
      </c>
      <c r="G36" s="3"/>
      <c r="H36" s="8">
        <v>4200</v>
      </c>
      <c r="I36" s="3"/>
      <c r="J36" s="7">
        <f t="shared" si="1"/>
        <v>3.720238095238095E-3</v>
      </c>
      <c r="K36" s="3"/>
      <c r="L36" s="8">
        <f t="shared" si="2"/>
        <v>-1017.5700000000002</v>
      </c>
      <c r="M36" s="3"/>
      <c r="N36" s="7">
        <f t="shared" si="3"/>
        <v>-0.24227857142857145</v>
      </c>
      <c r="O36" s="12"/>
      <c r="P36" s="8">
        <v>25811.55</v>
      </c>
      <c r="Q36" s="3"/>
      <c r="R36" s="7">
        <f t="shared" si="4"/>
        <v>3.3019131604571793E-3</v>
      </c>
      <c r="S36" s="3"/>
      <c r="T36" s="8">
        <v>33600</v>
      </c>
      <c r="U36" s="3"/>
      <c r="V36" s="7">
        <f t="shared" si="5"/>
        <v>5.5187637969094927E-3</v>
      </c>
      <c r="W36" s="3"/>
      <c r="X36" s="8">
        <f t="shared" si="6"/>
        <v>-7788.4500000000007</v>
      </c>
      <c r="Y36" s="3"/>
      <c r="Z36" s="7">
        <f t="shared" si="7"/>
        <v>-0.23179910714285717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272080.91000000003</v>
      </c>
      <c r="E37" s="2"/>
      <c r="F37" s="6">
        <f t="shared" si="0"/>
        <v>0.1956264815018266</v>
      </c>
      <c r="G37" s="2"/>
      <c r="H37" s="2">
        <f>SUM(OSRRefH22_1x_0)</f>
        <v>286151.44895384612</v>
      </c>
      <c r="I37" s="2"/>
      <c r="J37" s="6">
        <f t="shared" si="1"/>
        <v>0.25346464795373275</v>
      </c>
      <c r="K37" s="2"/>
      <c r="L37" s="2">
        <f t="shared" si="2"/>
        <v>-14070.538953846088</v>
      </c>
      <c r="M37" s="2"/>
      <c r="N37" s="6">
        <f t="shared" si="3"/>
        <v>-4.9171650205816535E-2</v>
      </c>
      <c r="O37" s="14"/>
      <c r="P37" s="2">
        <f>SUM(OSRRefP22_1x_0)</f>
        <v>1783544.7</v>
      </c>
      <c r="Q37" s="2"/>
      <c r="R37" s="6">
        <f t="shared" si="4"/>
        <v>0.22815792609098068</v>
      </c>
      <c r="S37" s="2"/>
      <c r="T37" s="2">
        <f>SUM(OSRRefT22_1x_0)</f>
        <v>2053858.6198461531</v>
      </c>
      <c r="U37" s="2"/>
      <c r="V37" s="6">
        <f t="shared" si="5"/>
        <v>0.33734406533266204</v>
      </c>
      <c r="W37" s="2"/>
      <c r="X37" s="2">
        <f t="shared" si="6"/>
        <v>-270313.91984615312</v>
      </c>
      <c r="Y37" s="2"/>
      <c r="Z37" s="6">
        <f t="shared" si="7"/>
        <v>-0.13161272019122783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>
        <v>9317.92</v>
      </c>
      <c r="E38" s="3"/>
      <c r="F38" s="7">
        <f t="shared" si="0"/>
        <v>6.6995950010439904E-3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9317.92</v>
      </c>
      <c r="M38" s="3"/>
      <c r="N38" s="7">
        <f t="shared" si="3"/>
        <v>0</v>
      </c>
      <c r="O38" s="12"/>
      <c r="P38" s="8">
        <v>74847.45</v>
      </c>
      <c r="Q38" s="3"/>
      <c r="R38" s="7">
        <f t="shared" si="4"/>
        <v>9.5747748655799717E-3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74847.45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34166.15</v>
      </c>
      <c r="E39" s="3"/>
      <c r="F39" s="7">
        <f t="shared" si="0"/>
        <v>2.4565500427661875E-2</v>
      </c>
      <c r="G39" s="3"/>
      <c r="H39" s="8">
        <v>42229.279353846097</v>
      </c>
      <c r="I39" s="3"/>
      <c r="J39" s="7">
        <f t="shared" si="1"/>
        <v>3.7405469949197578E-2</v>
      </c>
      <c r="K39" s="3"/>
      <c r="L39" s="8">
        <f t="shared" si="2"/>
        <v>-8063.1293538460959</v>
      </c>
      <c r="M39" s="3"/>
      <c r="N39" s="7">
        <f t="shared" si="3"/>
        <v>-0.1909369394226173</v>
      </c>
      <c r="O39" s="12"/>
      <c r="P39" s="8">
        <v>297745.53999999998</v>
      </c>
      <c r="Q39" s="3"/>
      <c r="R39" s="7">
        <f t="shared" si="4"/>
        <v>3.8088759372971771E-2</v>
      </c>
      <c r="S39" s="3"/>
      <c r="T39" s="8">
        <v>367846.724846153</v>
      </c>
      <c r="U39" s="3"/>
      <c r="V39" s="7">
        <f t="shared" si="5"/>
        <v>6.0418428211091564E-2</v>
      </c>
      <c r="W39" s="3"/>
      <c r="X39" s="8">
        <f t="shared" si="6"/>
        <v>-70101.184846153017</v>
      </c>
      <c r="Y39" s="3"/>
      <c r="Z39" s="7">
        <f t="shared" si="7"/>
        <v>-0.19057172488207394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8">
        <v>98582.66</v>
      </c>
      <c r="E41" s="3"/>
      <c r="F41" s="7">
        <f t="shared" si="0"/>
        <v>7.0881043851591274E-2</v>
      </c>
      <c r="G41" s="3"/>
      <c r="H41" s="8">
        <v>99718.745599999995</v>
      </c>
      <c r="I41" s="3"/>
      <c r="J41" s="7">
        <f t="shared" si="1"/>
        <v>8.832797052154194E-2</v>
      </c>
      <c r="K41" s="3"/>
      <c r="L41" s="8">
        <f t="shared" si="2"/>
        <v>-1136.0855999999912</v>
      </c>
      <c r="M41" s="3"/>
      <c r="N41" s="7">
        <f t="shared" si="3"/>
        <v>-1.1392899029808808E-2</v>
      </c>
      <c r="O41" s="12"/>
      <c r="P41" s="8">
        <v>612005.02</v>
      </c>
      <c r="Q41" s="3"/>
      <c r="R41" s="7">
        <f t="shared" si="4"/>
        <v>7.8290045727740468E-2</v>
      </c>
      <c r="S41" s="3"/>
      <c r="T41" s="8">
        <v>847039.02399999998</v>
      </c>
      <c r="U41" s="3"/>
      <c r="V41" s="7">
        <f t="shared" si="5"/>
        <v>0.13912524703037948</v>
      </c>
      <c r="W41" s="3"/>
      <c r="X41" s="8">
        <f t="shared" si="6"/>
        <v>-235034.00399999996</v>
      </c>
      <c r="Y41" s="3"/>
      <c r="Z41" s="7">
        <f t="shared" si="7"/>
        <v>-0.27747718504171298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8">
        <v>38938.69</v>
      </c>
      <c r="E42" s="3"/>
      <c r="F42" s="7">
        <f t="shared" si="0"/>
        <v>2.7996962076429249E-2</v>
      </c>
      <c r="G42" s="3"/>
      <c r="H42" s="8">
        <v>25594.42</v>
      </c>
      <c r="I42" s="3"/>
      <c r="J42" s="7">
        <f t="shared" si="1"/>
        <v>2.267079435941043E-2</v>
      </c>
      <c r="K42" s="3"/>
      <c r="L42" s="8">
        <f t="shared" si="2"/>
        <v>13344.270000000004</v>
      </c>
      <c r="M42" s="3"/>
      <c r="N42" s="7">
        <f t="shared" si="3"/>
        <v>0.52137419015551068</v>
      </c>
      <c r="O42" s="12"/>
      <c r="P42" s="8">
        <v>305654.87</v>
      </c>
      <c r="Q42" s="3"/>
      <c r="R42" s="7">
        <f t="shared" si="4"/>
        <v>3.9100551412481171E-2</v>
      </c>
      <c r="S42" s="3"/>
      <c r="T42" s="8">
        <v>159953.48499999999</v>
      </c>
      <c r="U42" s="3"/>
      <c r="V42" s="7">
        <f t="shared" si="5"/>
        <v>2.6272187565699566E-2</v>
      </c>
      <c r="W42" s="3"/>
      <c r="X42" s="8">
        <f t="shared" si="6"/>
        <v>145701.38500000001</v>
      </c>
      <c r="Y42" s="3"/>
      <c r="Z42" s="7">
        <f t="shared" si="7"/>
        <v>0.91089847151501591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8">
        <v>644.6</v>
      </c>
      <c r="E43" s="3"/>
      <c r="F43" s="7">
        <f t="shared" si="0"/>
        <v>4.6346812783034801E-4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644.6</v>
      </c>
      <c r="M43" s="3"/>
      <c r="N43" s="7">
        <f t="shared" si="3"/>
        <v>0</v>
      </c>
      <c r="O43" s="12"/>
      <c r="P43" s="8">
        <v>644.6</v>
      </c>
      <c r="Q43" s="3"/>
      <c r="R43" s="7">
        <f t="shared" si="4"/>
        <v>8.2459721451470292E-5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644.6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8">
        <v>40492.980000000003</v>
      </c>
      <c r="E44" s="3"/>
      <c r="F44" s="7">
        <f t="shared" si="0"/>
        <v>2.9114498341408199E-2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40492.980000000003</v>
      </c>
      <c r="M44" s="3"/>
      <c r="N44" s="7">
        <f t="shared" si="3"/>
        <v>0</v>
      </c>
      <c r="O44" s="12"/>
      <c r="P44" s="8">
        <v>358567.97</v>
      </c>
      <c r="Q44" s="3"/>
      <c r="R44" s="7">
        <f t="shared" si="4"/>
        <v>4.5869399515388078E-2</v>
      </c>
      <c r="S44" s="3"/>
      <c r="T44" s="8">
        <v>42825.5</v>
      </c>
      <c r="U44" s="3"/>
      <c r="V44" s="7">
        <f t="shared" si="5"/>
        <v>7.03404223168296E-3</v>
      </c>
      <c r="W44" s="3"/>
      <c r="X44" s="8">
        <f t="shared" si="6"/>
        <v>315742.46999999997</v>
      </c>
      <c r="Y44" s="3"/>
      <c r="Z44" s="7">
        <f t="shared" si="7"/>
        <v>7.3727678602701658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8">
        <v>49937.91</v>
      </c>
      <c r="E45" s="3"/>
      <c r="F45" s="7">
        <f t="shared" si="0"/>
        <v>3.5905413675861642E-2</v>
      </c>
      <c r="G45" s="3"/>
      <c r="H45" s="8">
        <v>118609.004</v>
      </c>
      <c r="I45" s="3"/>
      <c r="J45" s="7">
        <f t="shared" si="1"/>
        <v>0.10506041312358276</v>
      </c>
      <c r="K45" s="3"/>
      <c r="L45" s="8">
        <f t="shared" si="2"/>
        <v>-68671.093999999997</v>
      </c>
      <c r="M45" s="3"/>
      <c r="N45" s="7">
        <f t="shared" si="3"/>
        <v>-0.57897032842464469</v>
      </c>
      <c r="O45" s="12"/>
      <c r="P45" s="8">
        <v>134079.25</v>
      </c>
      <c r="Q45" s="3"/>
      <c r="R45" s="7">
        <f t="shared" si="4"/>
        <v>1.7151935475367745E-2</v>
      </c>
      <c r="S45" s="3"/>
      <c r="T45" s="8">
        <v>636193.88600000006</v>
      </c>
      <c r="U45" s="3"/>
      <c r="V45" s="7">
        <f t="shared" si="5"/>
        <v>0.10449416029380848</v>
      </c>
      <c r="W45" s="3"/>
      <c r="X45" s="8">
        <f t="shared" si="6"/>
        <v>-502114.63600000006</v>
      </c>
      <c r="Y45" s="3"/>
      <c r="Z45" s="7">
        <f t="shared" si="7"/>
        <v>-0.7892478174491605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0</v>
      </c>
      <c r="E48" s="2"/>
      <c r="F48" s="6">
        <f t="shared" si="0"/>
        <v>0</v>
      </c>
      <c r="G48" s="2"/>
      <c r="H48" s="2">
        <f>SUM(OSRRefH22_2x_0)</f>
        <v>1319</v>
      </c>
      <c r="I48" s="2"/>
      <c r="J48" s="6">
        <f t="shared" si="1"/>
        <v>1.1683319160997732E-3</v>
      </c>
      <c r="K48" s="2"/>
      <c r="L48" s="2">
        <f t="shared" si="2"/>
        <v>-1319</v>
      </c>
      <c r="M48" s="2"/>
      <c r="N48" s="6">
        <f t="shared" si="3"/>
        <v>-1</v>
      </c>
      <c r="O48" s="14"/>
      <c r="P48" s="2">
        <f>SUM(OSRRefP22_2x_0)</f>
        <v>3421.07</v>
      </c>
      <c r="Q48" s="2"/>
      <c r="R48" s="6">
        <f t="shared" si="4"/>
        <v>4.3763648660561819E-4</v>
      </c>
      <c r="S48" s="2"/>
      <c r="T48" s="2">
        <f>SUM(OSRRefT22_2x_0)</f>
        <v>10552</v>
      </c>
      <c r="U48" s="2"/>
      <c r="V48" s="6">
        <f t="shared" si="5"/>
        <v>1.7331546305056238E-3</v>
      </c>
      <c r="W48" s="2"/>
      <c r="X48" s="2">
        <f t="shared" si="6"/>
        <v>-7130.93</v>
      </c>
      <c r="Y48" s="2"/>
      <c r="Z48" s="6">
        <f t="shared" si="7"/>
        <v>-0.67578942380591356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/>
      <c r="E49" s="3"/>
      <c r="F49" s="7">
        <f t="shared" si="0"/>
        <v>0</v>
      </c>
      <c r="G49" s="3"/>
      <c r="H49" s="8">
        <v>1319</v>
      </c>
      <c r="I49" s="3"/>
      <c r="J49" s="7">
        <f t="shared" si="1"/>
        <v>1.1683319160997732E-3</v>
      </c>
      <c r="K49" s="3"/>
      <c r="L49" s="8">
        <f t="shared" si="2"/>
        <v>-1319</v>
      </c>
      <c r="M49" s="3"/>
      <c r="N49" s="7">
        <f t="shared" si="3"/>
        <v>-1</v>
      </c>
      <c r="O49" s="12"/>
      <c r="P49" s="8">
        <v>3421.07</v>
      </c>
      <c r="Q49" s="3"/>
      <c r="R49" s="7">
        <f t="shared" si="4"/>
        <v>4.3763648660561819E-4</v>
      </c>
      <c r="S49" s="3"/>
      <c r="T49" s="8">
        <v>10552</v>
      </c>
      <c r="U49" s="3"/>
      <c r="V49" s="7">
        <f t="shared" si="5"/>
        <v>1.7331546305056238E-3</v>
      </c>
      <c r="W49" s="3"/>
      <c r="X49" s="8">
        <f t="shared" si="6"/>
        <v>-7130.93</v>
      </c>
      <c r="Y49" s="3"/>
      <c r="Z49" s="7">
        <f t="shared" si="7"/>
        <v>-0.67578942380591356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-9.1</v>
      </c>
      <c r="E50" s="2"/>
      <c r="F50" s="6">
        <f t="shared" si="0"/>
        <v>-6.5429102749862956E-6</v>
      </c>
      <c r="G50" s="2"/>
      <c r="H50" s="2">
        <f>SUM(OSRRefH22_3x_0)</f>
        <v>33</v>
      </c>
      <c r="I50" s="2"/>
      <c r="J50" s="6">
        <f t="shared" si="1"/>
        <v>2.9230442176870748E-5</v>
      </c>
      <c r="K50" s="2"/>
      <c r="L50" s="2">
        <f t="shared" si="2"/>
        <v>-42.1</v>
      </c>
      <c r="M50" s="2"/>
      <c r="N50" s="6">
        <f t="shared" si="3"/>
        <v>-1.2757575757575759</v>
      </c>
      <c r="O50" s="14"/>
      <c r="P50" s="2">
        <f>SUM(OSRRefP22_3x_0)</f>
        <v>-15.9</v>
      </c>
      <c r="Q50" s="2"/>
      <c r="R50" s="6">
        <f t="shared" si="4"/>
        <v>-2.0339894059546658E-6</v>
      </c>
      <c r="S50" s="2"/>
      <c r="T50" s="2">
        <f>SUM(OSRRefT22_3x_0)</f>
        <v>246</v>
      </c>
      <c r="U50" s="2"/>
      <c r="V50" s="6">
        <f t="shared" si="5"/>
        <v>4.0405234941658783E-5</v>
      </c>
      <c r="W50" s="2"/>
      <c r="X50" s="2">
        <f t="shared" si="6"/>
        <v>-261.89999999999998</v>
      </c>
      <c r="Y50" s="2"/>
      <c r="Z50" s="6">
        <f t="shared" si="7"/>
        <v>-1.0646341463414632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8">
        <v>-9.1</v>
      </c>
      <c r="E51" s="3"/>
      <c r="F51" s="7">
        <f t="shared" si="0"/>
        <v>-6.5429102749862956E-6</v>
      </c>
      <c r="G51" s="3"/>
      <c r="H51" s="8">
        <v>33</v>
      </c>
      <c r="I51" s="3"/>
      <c r="J51" s="7">
        <f t="shared" si="1"/>
        <v>2.9230442176870748E-5</v>
      </c>
      <c r="K51" s="3"/>
      <c r="L51" s="8">
        <f t="shared" si="2"/>
        <v>-42.1</v>
      </c>
      <c r="M51" s="3"/>
      <c r="N51" s="7">
        <f t="shared" si="3"/>
        <v>-1.2757575757575759</v>
      </c>
      <c r="O51" s="12"/>
      <c r="P51" s="8">
        <v>-15.9</v>
      </c>
      <c r="Q51" s="3"/>
      <c r="R51" s="7">
        <f t="shared" si="4"/>
        <v>-2.0339894059546658E-6</v>
      </c>
      <c r="S51" s="3"/>
      <c r="T51" s="8">
        <v>246</v>
      </c>
      <c r="U51" s="3"/>
      <c r="V51" s="7">
        <f t="shared" si="5"/>
        <v>4.0405234941658783E-5</v>
      </c>
      <c r="W51" s="3"/>
      <c r="X51" s="8">
        <f t="shared" si="6"/>
        <v>-261.89999999999998</v>
      </c>
      <c r="Y51" s="3"/>
      <c r="Z51" s="7">
        <f t="shared" si="7"/>
        <v>-1.0646341463414632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218.88</v>
      </c>
      <c r="E52" s="2"/>
      <c r="F52" s="6">
        <f t="shared" si="0"/>
        <v>1.573749671416484E-4</v>
      </c>
      <c r="G52" s="2"/>
      <c r="H52" s="2">
        <f>SUM(OSRRefH22_4x_0)</f>
        <v>410</v>
      </c>
      <c r="I52" s="2"/>
      <c r="J52" s="6">
        <f t="shared" si="1"/>
        <v>3.6316609977324262E-4</v>
      </c>
      <c r="K52" s="2"/>
      <c r="L52" s="2">
        <f t="shared" si="2"/>
        <v>-191.12</v>
      </c>
      <c r="M52" s="2"/>
      <c r="N52" s="6">
        <f t="shared" si="3"/>
        <v>-0.46614634146341466</v>
      </c>
      <c r="O52" s="14"/>
      <c r="P52" s="2">
        <f>SUM(OSRRefP22_4x_0)</f>
        <v>1121.19</v>
      </c>
      <c r="Q52" s="2"/>
      <c r="R52" s="6">
        <f t="shared" si="4"/>
        <v>1.4342695484668628E-4</v>
      </c>
      <c r="S52" s="2"/>
      <c r="T52" s="2">
        <f>SUM(OSRRefT22_4x_0)</f>
        <v>3255</v>
      </c>
      <c r="U52" s="2"/>
      <c r="V52" s="6">
        <f t="shared" si="5"/>
        <v>5.3463024282560708E-4</v>
      </c>
      <c r="W52" s="2"/>
      <c r="X52" s="2">
        <f t="shared" si="6"/>
        <v>-2133.81</v>
      </c>
      <c r="Y52" s="2"/>
      <c r="Z52" s="6">
        <f t="shared" si="7"/>
        <v>-0.65554838709677421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8">
        <v>218.88</v>
      </c>
      <c r="E53" s="3"/>
      <c r="F53" s="7">
        <f t="shared" si="0"/>
        <v>1.573749671416484E-4</v>
      </c>
      <c r="G53" s="3"/>
      <c r="H53" s="8">
        <v>410</v>
      </c>
      <c r="I53" s="3"/>
      <c r="J53" s="7">
        <f t="shared" si="1"/>
        <v>3.6316609977324262E-4</v>
      </c>
      <c r="K53" s="3"/>
      <c r="L53" s="8">
        <f t="shared" si="2"/>
        <v>-191.12</v>
      </c>
      <c r="M53" s="3"/>
      <c r="N53" s="7">
        <f t="shared" si="3"/>
        <v>-0.46614634146341466</v>
      </c>
      <c r="O53" s="12"/>
      <c r="P53" s="8">
        <v>1121.19</v>
      </c>
      <c r="Q53" s="3"/>
      <c r="R53" s="7">
        <f t="shared" si="4"/>
        <v>1.4342695484668628E-4</v>
      </c>
      <c r="S53" s="3"/>
      <c r="T53" s="8">
        <v>3255</v>
      </c>
      <c r="U53" s="3"/>
      <c r="V53" s="7">
        <f t="shared" si="5"/>
        <v>5.3463024282560708E-4</v>
      </c>
      <c r="W53" s="3"/>
      <c r="X53" s="8">
        <f t="shared" si="6"/>
        <v>-2133.81</v>
      </c>
      <c r="Y53" s="3"/>
      <c r="Z53" s="7">
        <f t="shared" si="7"/>
        <v>-0.65554838709677421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760.04</v>
      </c>
      <c r="E54" s="2"/>
      <c r="F54" s="6">
        <f t="shared" si="0"/>
        <v>5.4646961817588836E-4</v>
      </c>
      <c r="G54" s="2"/>
      <c r="H54" s="2">
        <f>SUM(OSRRefH22_5x_0)</f>
        <v>486</v>
      </c>
      <c r="I54" s="2"/>
      <c r="J54" s="6">
        <f t="shared" si="1"/>
        <v>4.3048469387755103E-4</v>
      </c>
      <c r="K54" s="2"/>
      <c r="L54" s="2">
        <f t="shared" si="2"/>
        <v>274.03999999999996</v>
      </c>
      <c r="M54" s="2"/>
      <c r="N54" s="6">
        <f t="shared" si="3"/>
        <v>0.56386831275720162</v>
      </c>
      <c r="O54" s="14"/>
      <c r="P54" s="2">
        <f>SUM(OSRRefP22_5x_0)</f>
        <v>6080.32</v>
      </c>
      <c r="Q54" s="2"/>
      <c r="R54" s="6">
        <f t="shared" si="4"/>
        <v>7.7781801665498577E-4</v>
      </c>
      <c r="S54" s="2"/>
      <c r="T54" s="2">
        <f>SUM(OSRRefT22_5x_0)</f>
        <v>3888</v>
      </c>
      <c r="U54" s="2"/>
      <c r="V54" s="6">
        <f t="shared" si="5"/>
        <v>6.3859981078524125E-4</v>
      </c>
      <c r="W54" s="2"/>
      <c r="X54" s="2">
        <f t="shared" si="6"/>
        <v>2192.3199999999997</v>
      </c>
      <c r="Y54" s="2"/>
      <c r="Z54" s="6">
        <f t="shared" si="7"/>
        <v>0.56386831275720162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760.04</v>
      </c>
      <c r="E55" s="3"/>
      <c r="F55" s="7">
        <f t="shared" si="0"/>
        <v>5.4646961817588836E-4</v>
      </c>
      <c r="G55" s="3"/>
      <c r="H55" s="8">
        <v>486</v>
      </c>
      <c r="I55" s="3"/>
      <c r="J55" s="7">
        <f t="shared" si="1"/>
        <v>4.3048469387755103E-4</v>
      </c>
      <c r="K55" s="3"/>
      <c r="L55" s="8">
        <f t="shared" si="2"/>
        <v>274.03999999999996</v>
      </c>
      <c r="M55" s="3"/>
      <c r="N55" s="7">
        <f t="shared" si="3"/>
        <v>0.56386831275720162</v>
      </c>
      <c r="O55" s="12"/>
      <c r="P55" s="8">
        <v>6080.32</v>
      </c>
      <c r="Q55" s="3"/>
      <c r="R55" s="7">
        <f t="shared" si="4"/>
        <v>7.7781801665498577E-4</v>
      </c>
      <c r="S55" s="3"/>
      <c r="T55" s="8">
        <v>3888</v>
      </c>
      <c r="U55" s="3"/>
      <c r="V55" s="7">
        <f t="shared" si="5"/>
        <v>6.3859981078524125E-4</v>
      </c>
      <c r="W55" s="3"/>
      <c r="X55" s="8">
        <f t="shared" si="6"/>
        <v>2192.3199999999997</v>
      </c>
      <c r="Y55" s="3"/>
      <c r="Z55" s="7">
        <f t="shared" si="7"/>
        <v>0.56386831275720162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8683.56</v>
      </c>
      <c r="E56" s="2"/>
      <c r="F56" s="6">
        <f t="shared" si="0"/>
        <v>6.2434894447758243E-3</v>
      </c>
      <c r="G56" s="2"/>
      <c r="H56" s="2">
        <f>SUM(OSRRefH22_6x_0)</f>
        <v>15500</v>
      </c>
      <c r="I56" s="2"/>
      <c r="J56" s="6">
        <f t="shared" si="1"/>
        <v>1.3729450113378686E-2</v>
      </c>
      <c r="K56" s="2"/>
      <c r="L56" s="2">
        <f t="shared" si="2"/>
        <v>-6816.4400000000005</v>
      </c>
      <c r="M56" s="2"/>
      <c r="N56" s="6">
        <f t="shared" si="3"/>
        <v>-0.43977032258064519</v>
      </c>
      <c r="O56" s="14"/>
      <c r="P56" s="2">
        <f>SUM(OSRRefP22_6x_0)</f>
        <v>49310.21</v>
      </c>
      <c r="Q56" s="2"/>
      <c r="R56" s="6">
        <f t="shared" si="4"/>
        <v>6.3079524997106803E-3</v>
      </c>
      <c r="S56" s="2"/>
      <c r="T56" s="2">
        <f>SUM(OSRRefT22_6x_0)</f>
        <v>108500</v>
      </c>
      <c r="U56" s="2"/>
      <c r="V56" s="6">
        <f t="shared" si="5"/>
        <v>1.7821008094186901E-2</v>
      </c>
      <c r="W56" s="2"/>
      <c r="X56" s="2">
        <f t="shared" si="6"/>
        <v>-59189.79</v>
      </c>
      <c r="Y56" s="2"/>
      <c r="Z56" s="6">
        <f t="shared" si="7"/>
        <v>-0.54552801843317977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8">
        <v>8683.56</v>
      </c>
      <c r="E57" s="3"/>
      <c r="F57" s="7">
        <f t="shared" ref="F57:F88" si="8">IF(D$12=0,0,D57/D$12)</f>
        <v>6.2434894447758243E-3</v>
      </c>
      <c r="G57" s="3"/>
      <c r="H57" s="8">
        <v>15500</v>
      </c>
      <c r="I57" s="3"/>
      <c r="J57" s="7">
        <f t="shared" ref="J57:J88" si="9">IF(H$12=0,0,H57/H$12)</f>
        <v>1.3729450113378686E-2</v>
      </c>
      <c r="K57" s="3"/>
      <c r="L57" s="8">
        <f t="shared" ref="L57:L88" si="10">+D57-H57</f>
        <v>-6816.4400000000005</v>
      </c>
      <c r="M57" s="3"/>
      <c r="N57" s="7">
        <f t="shared" ref="N57:N88" si="11">IF(H57=0,0,L57/H57)</f>
        <v>-0.43977032258064519</v>
      </c>
      <c r="O57" s="12"/>
      <c r="P57" s="8">
        <v>49310.21</v>
      </c>
      <c r="Q57" s="3"/>
      <c r="R57" s="7">
        <f t="shared" ref="R57:R88" si="12">IF(P$12=0,0,P57/P$12)</f>
        <v>6.3079524997106803E-3</v>
      </c>
      <c r="S57" s="3"/>
      <c r="T57" s="8">
        <v>108500</v>
      </c>
      <c r="U57" s="3"/>
      <c r="V57" s="7">
        <f t="shared" ref="V57:V88" si="13">IF(T$12=0,0,T57/T$12)</f>
        <v>1.7821008094186901E-2</v>
      </c>
      <c r="W57" s="3"/>
      <c r="X57" s="8">
        <f t="shared" ref="X57:X88" si="14">+P57-T57</f>
        <v>-59189.79</v>
      </c>
      <c r="Y57" s="3"/>
      <c r="Z57" s="7">
        <f t="shared" ref="Z57:Z88" si="15">IF(T57=0,0,X57/T57)</f>
        <v>-0.54552801843317977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87.37</v>
      </c>
      <c r="E58" s="2"/>
      <c r="F58" s="6">
        <f t="shared" si="8"/>
        <v>6.2819128651159641E-5</v>
      </c>
      <c r="G58" s="2"/>
      <c r="H58" s="2">
        <f>SUM(OSRRefH22_7x_0)</f>
        <v>200</v>
      </c>
      <c r="I58" s="2"/>
      <c r="J58" s="6">
        <f t="shared" si="9"/>
        <v>1.7715419501133787E-4</v>
      </c>
      <c r="K58" s="2"/>
      <c r="L58" s="2">
        <f t="shared" si="10"/>
        <v>-112.63</v>
      </c>
      <c r="M58" s="2"/>
      <c r="N58" s="6">
        <f t="shared" si="11"/>
        <v>-0.56314999999999993</v>
      </c>
      <c r="O58" s="14"/>
      <c r="P58" s="2">
        <f>SUM(OSRRefP22_7x_0)</f>
        <v>325.70999999999998</v>
      </c>
      <c r="Q58" s="2"/>
      <c r="R58" s="6">
        <f t="shared" si="12"/>
        <v>4.1666081095188315E-5</v>
      </c>
      <c r="S58" s="2"/>
      <c r="T58" s="2">
        <f>SUM(OSRRefT22_7x_0)</f>
        <v>2100</v>
      </c>
      <c r="U58" s="2"/>
      <c r="V58" s="6">
        <f t="shared" si="13"/>
        <v>3.4492273730684329E-4</v>
      </c>
      <c r="W58" s="2"/>
      <c r="X58" s="2">
        <f t="shared" si="14"/>
        <v>-1774.29</v>
      </c>
      <c r="Y58" s="2"/>
      <c r="Z58" s="6">
        <f t="shared" si="15"/>
        <v>-0.84489999999999998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8">
        <v>87.37</v>
      </c>
      <c r="E59" s="3"/>
      <c r="F59" s="7">
        <f t="shared" si="8"/>
        <v>6.2819128651159641E-5</v>
      </c>
      <c r="G59" s="3"/>
      <c r="H59" s="8">
        <v>200</v>
      </c>
      <c r="I59" s="3"/>
      <c r="J59" s="7">
        <f t="shared" si="9"/>
        <v>1.7715419501133787E-4</v>
      </c>
      <c r="K59" s="3"/>
      <c r="L59" s="8">
        <f t="shared" si="10"/>
        <v>-112.63</v>
      </c>
      <c r="M59" s="3"/>
      <c r="N59" s="7">
        <f t="shared" si="11"/>
        <v>-0.56314999999999993</v>
      </c>
      <c r="O59" s="12"/>
      <c r="P59" s="8">
        <v>325.70999999999998</v>
      </c>
      <c r="Q59" s="3"/>
      <c r="R59" s="7">
        <f t="shared" si="12"/>
        <v>4.1666081095188315E-5</v>
      </c>
      <c r="S59" s="3"/>
      <c r="T59" s="8">
        <v>2100</v>
      </c>
      <c r="U59" s="3"/>
      <c r="V59" s="7">
        <f t="shared" si="13"/>
        <v>3.4492273730684329E-4</v>
      </c>
      <c r="W59" s="3"/>
      <c r="X59" s="8">
        <f t="shared" si="14"/>
        <v>-1774.29</v>
      </c>
      <c r="Y59" s="3"/>
      <c r="Z59" s="7">
        <f t="shared" si="15"/>
        <v>-0.84489999999999998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471.12</v>
      </c>
      <c r="E60" s="2"/>
      <c r="F60" s="6">
        <f t="shared" si="8"/>
        <v>3.3873581195071912E-4</v>
      </c>
      <c r="G60" s="2"/>
      <c r="H60" s="2">
        <f>SUM(OSRRefH22_8x_0)</f>
        <v>795</v>
      </c>
      <c r="I60" s="2"/>
      <c r="J60" s="6">
        <f t="shared" si="9"/>
        <v>7.0418792517006805E-4</v>
      </c>
      <c r="K60" s="2"/>
      <c r="L60" s="2">
        <f t="shared" si="10"/>
        <v>-323.88</v>
      </c>
      <c r="M60" s="2"/>
      <c r="N60" s="6">
        <f t="shared" si="11"/>
        <v>-0.40739622641509432</v>
      </c>
      <c r="O60" s="14"/>
      <c r="P60" s="2">
        <f>SUM(OSRRefP22_8x_0)</f>
        <v>9129.25</v>
      </c>
      <c r="Q60" s="2"/>
      <c r="R60" s="6">
        <f t="shared" si="12"/>
        <v>1.167848917252304E-3</v>
      </c>
      <c r="S60" s="2"/>
      <c r="T60" s="2">
        <f>SUM(OSRRefT22_8x_0)</f>
        <v>6360</v>
      </c>
      <c r="U60" s="2"/>
      <c r="V60" s="6">
        <f t="shared" si="13"/>
        <v>1.0446231472721538E-3</v>
      </c>
      <c r="W60" s="2"/>
      <c r="X60" s="2">
        <f t="shared" si="14"/>
        <v>2769.25</v>
      </c>
      <c r="Y60" s="2"/>
      <c r="Z60" s="6">
        <f t="shared" si="15"/>
        <v>0.43541666666666667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8">
        <v>471.12</v>
      </c>
      <c r="E61" s="3"/>
      <c r="F61" s="7">
        <f t="shared" si="8"/>
        <v>3.3873581195071912E-4</v>
      </c>
      <c r="G61" s="3"/>
      <c r="H61" s="8">
        <v>795</v>
      </c>
      <c r="I61" s="3"/>
      <c r="J61" s="7">
        <f t="shared" si="9"/>
        <v>7.0418792517006805E-4</v>
      </c>
      <c r="K61" s="3"/>
      <c r="L61" s="8">
        <f t="shared" si="10"/>
        <v>-323.88</v>
      </c>
      <c r="M61" s="3"/>
      <c r="N61" s="7">
        <f t="shared" si="11"/>
        <v>-0.40739622641509432</v>
      </c>
      <c r="O61" s="12"/>
      <c r="P61" s="8">
        <v>9129.25</v>
      </c>
      <c r="Q61" s="3"/>
      <c r="R61" s="7">
        <f t="shared" si="12"/>
        <v>1.167848917252304E-3</v>
      </c>
      <c r="S61" s="3"/>
      <c r="T61" s="8">
        <v>6360</v>
      </c>
      <c r="U61" s="3"/>
      <c r="V61" s="7">
        <f t="shared" si="13"/>
        <v>1.0446231472721538E-3</v>
      </c>
      <c r="W61" s="3"/>
      <c r="X61" s="8">
        <f t="shared" si="14"/>
        <v>2769.25</v>
      </c>
      <c r="Y61" s="3"/>
      <c r="Z61" s="7">
        <f t="shared" si="15"/>
        <v>0.43541666666666667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437.63</v>
      </c>
      <c r="E62" s="2"/>
      <c r="F62" s="6">
        <f t="shared" si="8"/>
        <v>3.1465646413651131E-4</v>
      </c>
      <c r="G62" s="2"/>
      <c r="H62" s="2">
        <f>SUM(OSRRefH22_9x_0)</f>
        <v>530</v>
      </c>
      <c r="I62" s="2"/>
      <c r="J62" s="6">
        <f t="shared" si="9"/>
        <v>4.6945861678004535E-4</v>
      </c>
      <c r="K62" s="2"/>
      <c r="L62" s="2">
        <f t="shared" si="10"/>
        <v>-92.37</v>
      </c>
      <c r="M62" s="2"/>
      <c r="N62" s="6">
        <f t="shared" si="11"/>
        <v>-0.17428301886792455</v>
      </c>
      <c r="O62" s="14"/>
      <c r="P62" s="2">
        <f>SUM(OSRRefP22_9x_0)</f>
        <v>12365.84</v>
      </c>
      <c r="Q62" s="2"/>
      <c r="R62" s="6">
        <f t="shared" si="12"/>
        <v>1.5818860097943676E-3</v>
      </c>
      <c r="S62" s="2"/>
      <c r="T62" s="2">
        <f>SUM(OSRRefT22_9x_0)</f>
        <v>9190</v>
      </c>
      <c r="U62" s="2"/>
      <c r="V62" s="6">
        <f t="shared" si="13"/>
        <v>1.5094475980237569E-3</v>
      </c>
      <c r="W62" s="2"/>
      <c r="X62" s="2">
        <f t="shared" si="14"/>
        <v>3175.84</v>
      </c>
      <c r="Y62" s="2"/>
      <c r="Z62" s="6">
        <f t="shared" si="15"/>
        <v>0.34557562568008704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8">
        <v>437.63</v>
      </c>
      <c r="E63" s="3"/>
      <c r="F63" s="7">
        <f t="shared" si="8"/>
        <v>3.1465646413651131E-4</v>
      </c>
      <c r="G63" s="3"/>
      <c r="H63" s="8">
        <v>530</v>
      </c>
      <c r="I63" s="3"/>
      <c r="J63" s="7">
        <f t="shared" si="9"/>
        <v>4.6945861678004535E-4</v>
      </c>
      <c r="K63" s="3"/>
      <c r="L63" s="8">
        <f t="shared" si="10"/>
        <v>-92.37</v>
      </c>
      <c r="M63" s="3"/>
      <c r="N63" s="7">
        <f t="shared" si="11"/>
        <v>-0.17428301886792455</v>
      </c>
      <c r="O63" s="12"/>
      <c r="P63" s="8">
        <v>12365.84</v>
      </c>
      <c r="Q63" s="3"/>
      <c r="R63" s="7">
        <f t="shared" si="12"/>
        <v>1.5818860097943676E-3</v>
      </c>
      <c r="S63" s="3"/>
      <c r="T63" s="8">
        <v>9190</v>
      </c>
      <c r="U63" s="3"/>
      <c r="V63" s="7">
        <f t="shared" si="13"/>
        <v>1.5094475980237569E-3</v>
      </c>
      <c r="W63" s="3"/>
      <c r="X63" s="8">
        <f t="shared" si="14"/>
        <v>3175.84</v>
      </c>
      <c r="Y63" s="3"/>
      <c r="Z63" s="7">
        <f t="shared" si="15"/>
        <v>0.34557562568008704</v>
      </c>
    </row>
    <row r="64" spans="1:26" s="69" customFormat="1" ht="15" customHeight="1" outlineLevel="1" collapsed="1" x14ac:dyDescent="0.3">
      <c r="A64" s="25"/>
      <c r="B64" s="14" t="str">
        <f>CONCATENATE("     ","Insurance                                         ")</f>
        <v xml:space="preserve">     Insurance                                         </v>
      </c>
      <c r="C64" s="14"/>
      <c r="D64" s="2">
        <f>SUM(OSRRefD22_10x_0)</f>
        <v>5.21</v>
      </c>
      <c r="E64" s="2"/>
      <c r="F64" s="6">
        <f t="shared" si="8"/>
        <v>3.7459958827119345E-6</v>
      </c>
      <c r="G64" s="2"/>
      <c r="H64" s="2">
        <f>SUM(OSRRefH22_10x_0)</f>
        <v>10</v>
      </c>
      <c r="I64" s="2"/>
      <c r="J64" s="6">
        <f t="shared" si="9"/>
        <v>8.8577097505668937E-6</v>
      </c>
      <c r="K64" s="2"/>
      <c r="L64" s="2">
        <f t="shared" si="10"/>
        <v>-4.79</v>
      </c>
      <c r="M64" s="2"/>
      <c r="N64" s="6">
        <f t="shared" si="11"/>
        <v>-0.47899999999999998</v>
      </c>
      <c r="O64" s="14"/>
      <c r="P64" s="2">
        <f>SUM(OSRRefP22_10x_0)</f>
        <v>41.69</v>
      </c>
      <c r="Q64" s="2"/>
      <c r="R64" s="6">
        <f t="shared" si="12"/>
        <v>5.3331458071855354E-6</v>
      </c>
      <c r="S64" s="2"/>
      <c r="T64" s="2">
        <f>SUM(OSRRefT22_10x_0)</f>
        <v>80</v>
      </c>
      <c r="U64" s="2"/>
      <c r="V64" s="6">
        <f t="shared" si="13"/>
        <v>1.3139913802165458E-5</v>
      </c>
      <c r="W64" s="2"/>
      <c r="X64" s="2">
        <f t="shared" si="14"/>
        <v>-38.31</v>
      </c>
      <c r="Y64" s="2"/>
      <c r="Z64" s="6">
        <f t="shared" si="15"/>
        <v>-0.47887500000000005</v>
      </c>
    </row>
    <row r="65" spans="1:26" s="70" customFormat="1" ht="15" hidden="1" customHeight="1" outlineLevel="2" x14ac:dyDescent="0.3">
      <c r="A65" s="26"/>
      <c r="B65" s="12" t="str">
        <f>CONCATENATE("          ","6314"," - ","LIABILITY INSURANCE")</f>
        <v xml:space="preserve">          6314 - LIABILITY INSURANCE</v>
      </c>
      <c r="C65" s="12"/>
      <c r="D65" s="8">
        <v>5.21</v>
      </c>
      <c r="E65" s="3"/>
      <c r="F65" s="7">
        <f t="shared" si="8"/>
        <v>3.7459958827119345E-6</v>
      </c>
      <c r="G65" s="3"/>
      <c r="H65" s="8">
        <v>10</v>
      </c>
      <c r="I65" s="3"/>
      <c r="J65" s="7">
        <f t="shared" si="9"/>
        <v>8.8577097505668937E-6</v>
      </c>
      <c r="K65" s="3"/>
      <c r="L65" s="8">
        <f t="shared" si="10"/>
        <v>-4.79</v>
      </c>
      <c r="M65" s="3"/>
      <c r="N65" s="7">
        <f t="shared" si="11"/>
        <v>-0.47899999999999998</v>
      </c>
      <c r="O65" s="12"/>
      <c r="P65" s="8">
        <v>41.69</v>
      </c>
      <c r="Q65" s="3"/>
      <c r="R65" s="7">
        <f t="shared" si="12"/>
        <v>5.3331458071855354E-6</v>
      </c>
      <c r="S65" s="3"/>
      <c r="T65" s="8">
        <v>80</v>
      </c>
      <c r="U65" s="3"/>
      <c r="V65" s="7">
        <f t="shared" si="13"/>
        <v>1.3139913802165458E-5</v>
      </c>
      <c r="W65" s="3"/>
      <c r="X65" s="8">
        <f t="shared" si="14"/>
        <v>-38.31</v>
      </c>
      <c r="Y65" s="3"/>
      <c r="Z65" s="7">
        <f t="shared" si="15"/>
        <v>-0.47887500000000005</v>
      </c>
    </row>
    <row r="66" spans="1:26" s="69" customFormat="1" ht="15" customHeight="1" outlineLevel="1" collapsed="1" x14ac:dyDescent="0.3">
      <c r="A66" s="25"/>
      <c r="B66" s="14" t="str">
        <f>CONCATENATE("     ","R/H Commissions                                   ")</f>
        <v xml:space="preserve">     R/H Commissions                                   </v>
      </c>
      <c r="C66" s="14"/>
      <c r="D66" s="2">
        <f>SUM(OSRRefD22_11x_0)</f>
        <v>109401.29</v>
      </c>
      <c r="E66" s="2"/>
      <c r="F66" s="6">
        <f t="shared" si="8"/>
        <v>7.8659651037115988E-2</v>
      </c>
      <c r="G66" s="2"/>
      <c r="H66" s="2">
        <f>SUM(OSRRefH22_11x_0)</f>
        <v>90317</v>
      </c>
      <c r="I66" s="2"/>
      <c r="J66" s="6">
        <f t="shared" si="9"/>
        <v>8.000017715419501E-2</v>
      </c>
      <c r="K66" s="2"/>
      <c r="L66" s="2">
        <f t="shared" si="10"/>
        <v>19084.289999999994</v>
      </c>
      <c r="M66" s="2"/>
      <c r="N66" s="6">
        <f t="shared" si="11"/>
        <v>0.21130340910349096</v>
      </c>
      <c r="O66" s="14"/>
      <c r="P66" s="2">
        <f>SUM(OSRRefP22_11x_0)</f>
        <v>609028.68999999994</v>
      </c>
      <c r="Q66" s="2"/>
      <c r="R66" s="6">
        <f t="shared" si="12"/>
        <v>7.7909302099525041E-2</v>
      </c>
      <c r="S66" s="2"/>
      <c r="T66" s="2">
        <f>SUM(OSRRefT22_11x_0)</f>
        <v>484906</v>
      </c>
      <c r="U66" s="2"/>
      <c r="V66" s="6">
        <f t="shared" si="13"/>
        <v>7.9645288026910538E-2</v>
      </c>
      <c r="W66" s="2"/>
      <c r="X66" s="2">
        <f t="shared" si="14"/>
        <v>124122.68999999994</v>
      </c>
      <c r="Y66" s="2"/>
      <c r="Z66" s="6">
        <f t="shared" si="15"/>
        <v>0.25597268336543566</v>
      </c>
    </row>
    <row r="67" spans="1:26" s="70" customFormat="1" ht="15" hidden="1" customHeight="1" outlineLevel="2" x14ac:dyDescent="0.3">
      <c r="A67" s="26"/>
      <c r="B67" s="12" t="str">
        <f>CONCATENATE("          ","6387"," - ","COMMISSION DUE HOUSING")</f>
        <v xml:space="preserve">          6387 - COMMISSION DUE HOUSING</v>
      </c>
      <c r="C67" s="12"/>
      <c r="D67" s="8">
        <v>109401.29</v>
      </c>
      <c r="E67" s="3"/>
      <c r="F67" s="7">
        <f t="shared" si="8"/>
        <v>7.8659651037115988E-2</v>
      </c>
      <c r="G67" s="3"/>
      <c r="H67" s="8">
        <v>90317</v>
      </c>
      <c r="I67" s="3"/>
      <c r="J67" s="7">
        <f t="shared" si="9"/>
        <v>8.000017715419501E-2</v>
      </c>
      <c r="K67" s="3"/>
      <c r="L67" s="8">
        <f t="shared" si="10"/>
        <v>19084.289999999994</v>
      </c>
      <c r="M67" s="3"/>
      <c r="N67" s="7">
        <f t="shared" si="11"/>
        <v>0.21130340910349096</v>
      </c>
      <c r="O67" s="12"/>
      <c r="P67" s="8">
        <v>609028.68999999994</v>
      </c>
      <c r="Q67" s="3"/>
      <c r="R67" s="7">
        <f t="shared" si="12"/>
        <v>7.7909302099525041E-2</v>
      </c>
      <c r="S67" s="3"/>
      <c r="T67" s="8">
        <v>484906</v>
      </c>
      <c r="U67" s="3"/>
      <c r="V67" s="7">
        <f t="shared" si="13"/>
        <v>7.9645288026910538E-2</v>
      </c>
      <c r="W67" s="3"/>
      <c r="X67" s="8">
        <f t="shared" si="14"/>
        <v>124122.68999999994</v>
      </c>
      <c r="Y67" s="3"/>
      <c r="Z67" s="7">
        <f t="shared" si="15"/>
        <v>0.25597268336543566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SUM(OSRRefD22_12x_0)</f>
        <v>3809.98</v>
      </c>
      <c r="E68" s="2"/>
      <c r="F68" s="6">
        <f t="shared" si="8"/>
        <v>2.7393799219222296E-3</v>
      </c>
      <c r="G68" s="2"/>
      <c r="H68" s="2">
        <f>SUM(OSRRefH22_12x_0)</f>
        <v>5850</v>
      </c>
      <c r="I68" s="2"/>
      <c r="J68" s="6">
        <f t="shared" si="9"/>
        <v>5.1817602040816323E-3</v>
      </c>
      <c r="K68" s="2"/>
      <c r="L68" s="2">
        <f t="shared" si="10"/>
        <v>-2040.02</v>
      </c>
      <c r="M68" s="2"/>
      <c r="N68" s="6">
        <f t="shared" si="11"/>
        <v>-0.34872136752136751</v>
      </c>
      <c r="O68" s="14"/>
      <c r="P68" s="2">
        <f>SUM(OSRRefP22_12x_0)</f>
        <v>33967.599999999999</v>
      </c>
      <c r="Q68" s="2"/>
      <c r="R68" s="6">
        <f t="shared" si="12"/>
        <v>4.3452665752016168E-3</v>
      </c>
      <c r="S68" s="2"/>
      <c r="T68" s="2">
        <f>SUM(OSRRefT22_12x_0)</f>
        <v>44800</v>
      </c>
      <c r="U68" s="2"/>
      <c r="V68" s="6">
        <f t="shared" si="13"/>
        <v>7.3583517292126564E-3</v>
      </c>
      <c r="W68" s="2"/>
      <c r="X68" s="2">
        <f t="shared" si="14"/>
        <v>-10832.400000000001</v>
      </c>
      <c r="Y68" s="2"/>
      <c r="Z68" s="6">
        <f t="shared" si="15"/>
        <v>-0.24179464285714289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8">
        <v>3500</v>
      </c>
      <c r="E69" s="3"/>
      <c r="F69" s="7">
        <f t="shared" si="8"/>
        <v>2.5165039519178061E-3</v>
      </c>
      <c r="G69" s="3"/>
      <c r="H69" s="8">
        <v>3500</v>
      </c>
      <c r="I69" s="3"/>
      <c r="J69" s="7">
        <f t="shared" si="9"/>
        <v>3.1001984126984125E-3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28000</v>
      </c>
      <c r="Q69" s="3"/>
      <c r="R69" s="7">
        <f t="shared" si="12"/>
        <v>3.5818681362723677E-3</v>
      </c>
      <c r="S69" s="3"/>
      <c r="T69" s="8">
        <v>28000</v>
      </c>
      <c r="U69" s="3"/>
      <c r="V69" s="7">
        <f t="shared" si="13"/>
        <v>4.59896983075791E-3</v>
      </c>
      <c r="W69" s="3"/>
      <c r="X69" s="8">
        <f t="shared" si="14"/>
        <v>0</v>
      </c>
      <c r="Y69" s="3"/>
      <c r="Z69" s="7">
        <f t="shared" si="15"/>
        <v>0</v>
      </c>
    </row>
    <row r="70" spans="1:26" s="70" customFormat="1" ht="15" hidden="1" customHeight="1" outlineLevel="2" x14ac:dyDescent="0.3">
      <c r="A70" s="26"/>
      <c r="B70" s="12" t="str">
        <f>CONCATENATE("          ","6373"," - ","MAINTENANCE CONTRACTS")</f>
        <v xml:space="preserve">          6373 - MAINTENANCE CONTRACTS</v>
      </c>
      <c r="C70" s="12"/>
      <c r="D70" s="8">
        <v>10.93</v>
      </c>
      <c r="E70" s="3"/>
      <c r="F70" s="7">
        <f t="shared" si="8"/>
        <v>7.8586823412747487E-6</v>
      </c>
      <c r="G70" s="3"/>
      <c r="H70" s="8">
        <v>1800</v>
      </c>
      <c r="I70" s="3"/>
      <c r="J70" s="7">
        <f t="shared" si="9"/>
        <v>1.5943877551020409E-3</v>
      </c>
      <c r="K70" s="3"/>
      <c r="L70" s="8">
        <f t="shared" si="10"/>
        <v>-1789.07</v>
      </c>
      <c r="M70" s="3"/>
      <c r="N70" s="7">
        <f t="shared" si="11"/>
        <v>-0.99392777777777774</v>
      </c>
      <c r="O70" s="12"/>
      <c r="P70" s="8">
        <v>621.66999999999996</v>
      </c>
      <c r="Q70" s="3"/>
      <c r="R70" s="7">
        <f t="shared" si="12"/>
        <v>7.952642729558723E-5</v>
      </c>
      <c r="S70" s="3"/>
      <c r="T70" s="8">
        <v>12400</v>
      </c>
      <c r="U70" s="3"/>
      <c r="V70" s="7">
        <f t="shared" si="13"/>
        <v>2.0366866393356458E-3</v>
      </c>
      <c r="W70" s="3"/>
      <c r="X70" s="8">
        <f t="shared" si="14"/>
        <v>-11778.33</v>
      </c>
      <c r="Y70" s="3"/>
      <c r="Z70" s="7">
        <f t="shared" si="15"/>
        <v>-0.94986532258064515</v>
      </c>
    </row>
    <row r="71" spans="1:26" s="70" customFormat="1" ht="15" hidden="1" customHeight="1" outlineLevel="2" x14ac:dyDescent="0.3">
      <c r="A71" s="26"/>
      <c r="B71" s="12" t="str">
        <f>CONCATENATE("          ","6375"," - ","OUTSIDE REPAIRS &amp; MAINTENANCE")</f>
        <v xml:space="preserve">          6375 - OUTSIDE REPAIRS &amp; MAINTENANCE</v>
      </c>
      <c r="C71" s="12"/>
      <c r="D71" s="8">
        <v>299.05</v>
      </c>
      <c r="E71" s="3"/>
      <c r="F71" s="7">
        <f t="shared" si="8"/>
        <v>2.1501728766314856E-4</v>
      </c>
      <c r="G71" s="3"/>
      <c r="H71" s="8">
        <v>550</v>
      </c>
      <c r="I71" s="3"/>
      <c r="J71" s="7">
        <f t="shared" si="9"/>
        <v>4.8717403628117912E-4</v>
      </c>
      <c r="K71" s="3"/>
      <c r="L71" s="8">
        <f t="shared" si="10"/>
        <v>-250.95</v>
      </c>
      <c r="M71" s="3"/>
      <c r="N71" s="7">
        <f t="shared" si="11"/>
        <v>-0.45627272727272727</v>
      </c>
      <c r="O71" s="12"/>
      <c r="P71" s="8">
        <v>5345.93</v>
      </c>
      <c r="Q71" s="3"/>
      <c r="R71" s="7">
        <f t="shared" si="12"/>
        <v>6.8387201163366211E-4</v>
      </c>
      <c r="S71" s="3"/>
      <c r="T71" s="8">
        <v>4400</v>
      </c>
      <c r="U71" s="3"/>
      <c r="V71" s="7">
        <f t="shared" si="13"/>
        <v>7.2269525911910018E-4</v>
      </c>
      <c r="W71" s="3"/>
      <c r="X71" s="8">
        <f t="shared" si="14"/>
        <v>945.93000000000029</v>
      </c>
      <c r="Y71" s="3"/>
      <c r="Z71" s="7">
        <f t="shared" si="15"/>
        <v>0.21498409090909099</v>
      </c>
    </row>
    <row r="72" spans="1:26" s="69" customFormat="1" ht="15" customHeight="1" outlineLevel="1" collapsed="1" x14ac:dyDescent="0.3">
      <c r="A72" s="25"/>
      <c r="B72" s="14" t="str">
        <f>CONCATENATE("     ","Services                                          ")</f>
        <v xml:space="preserve">     Services                                          </v>
      </c>
      <c r="C72" s="14"/>
      <c r="D72" s="2">
        <f>SUM(OSRRefD22_13x_0)</f>
        <v>19275.88</v>
      </c>
      <c r="E72" s="2"/>
      <c r="F72" s="6">
        <f t="shared" si="8"/>
        <v>1.3859379484769544E-2</v>
      </c>
      <c r="G72" s="2"/>
      <c r="H72" s="2">
        <f>SUM(OSRRefH22_13x_0)</f>
        <v>21796</v>
      </c>
      <c r="I72" s="2"/>
      <c r="J72" s="6">
        <f t="shared" si="9"/>
        <v>1.9306264172335601E-2</v>
      </c>
      <c r="K72" s="2"/>
      <c r="L72" s="2">
        <f t="shared" si="10"/>
        <v>-2520.119999999999</v>
      </c>
      <c r="M72" s="2"/>
      <c r="N72" s="6">
        <f t="shared" si="11"/>
        <v>-0.1156230501009359</v>
      </c>
      <c r="O72" s="14"/>
      <c r="P72" s="2">
        <f>SUM(OSRRefP22_13x_0)</f>
        <v>134305.41</v>
      </c>
      <c r="Q72" s="2"/>
      <c r="R72" s="6">
        <f t="shared" si="12"/>
        <v>1.7180866735999865E-2</v>
      </c>
      <c r="S72" s="2"/>
      <c r="T72" s="2">
        <f>SUM(OSRRefT22_13x_0)</f>
        <v>169624</v>
      </c>
      <c r="U72" s="2"/>
      <c r="V72" s="6">
        <f t="shared" si="13"/>
        <v>2.7860559234731422E-2</v>
      </c>
      <c r="W72" s="2"/>
      <c r="X72" s="2">
        <f t="shared" si="14"/>
        <v>-35318.589999999997</v>
      </c>
      <c r="Y72" s="2"/>
      <c r="Z72" s="6">
        <f t="shared" si="15"/>
        <v>-0.20821693864075835</v>
      </c>
    </row>
    <row r="73" spans="1:26" s="70" customFormat="1" ht="15" hidden="1" customHeight="1" outlineLevel="2" x14ac:dyDescent="0.3">
      <c r="A73" s="26"/>
      <c r="B73" s="12" t="str">
        <f>CONCATENATE("          ","6282"," - ","JANITORIAL/EXTERMINATOR EXPENS")</f>
        <v xml:space="preserve">          6282 - JANITORIAL/EXTERMINATOR EXPENS</v>
      </c>
      <c r="C73" s="12"/>
      <c r="D73" s="8">
        <v>2373.9</v>
      </c>
      <c r="E73" s="3"/>
      <c r="F73" s="7">
        <f t="shared" si="8"/>
        <v>1.7068367804164801E-3</v>
      </c>
      <c r="G73" s="3"/>
      <c r="H73" s="8">
        <v>1570</v>
      </c>
      <c r="I73" s="3"/>
      <c r="J73" s="7">
        <f t="shared" si="9"/>
        <v>1.3906604308390022E-3</v>
      </c>
      <c r="K73" s="3"/>
      <c r="L73" s="8">
        <f t="shared" si="10"/>
        <v>803.90000000000009</v>
      </c>
      <c r="M73" s="3"/>
      <c r="N73" s="7">
        <f t="shared" si="11"/>
        <v>0.51203821656050963</v>
      </c>
      <c r="O73" s="12"/>
      <c r="P73" s="8">
        <v>13139.92</v>
      </c>
      <c r="Q73" s="3"/>
      <c r="R73" s="7">
        <f t="shared" si="12"/>
        <v>1.6809093128988574E-3</v>
      </c>
      <c r="S73" s="3"/>
      <c r="T73" s="8">
        <v>12560</v>
      </c>
      <c r="U73" s="3"/>
      <c r="V73" s="7">
        <f t="shared" si="13"/>
        <v>2.062966466939977E-3</v>
      </c>
      <c r="W73" s="3"/>
      <c r="X73" s="8">
        <f t="shared" si="14"/>
        <v>579.92000000000007</v>
      </c>
      <c r="Y73" s="3"/>
      <c r="Z73" s="7">
        <f t="shared" si="15"/>
        <v>4.6171974522292998E-2</v>
      </c>
    </row>
    <row r="74" spans="1:26" s="70" customFormat="1" ht="15" hidden="1" customHeight="1" outlineLevel="2" x14ac:dyDescent="0.3">
      <c r="A74" s="26"/>
      <c r="B74" s="12" t="str">
        <f>CONCATENATE("          ","6284"," - ","TRASH REMOVAL EXPENSE")</f>
        <v xml:space="preserve">          6284 - TRASH REMOVAL EXPENSE</v>
      </c>
      <c r="C74" s="12"/>
      <c r="D74" s="8"/>
      <c r="E74" s="3"/>
      <c r="F74" s="7">
        <f t="shared" si="8"/>
        <v>0</v>
      </c>
      <c r="G74" s="3"/>
      <c r="H74" s="8">
        <v>600</v>
      </c>
      <c r="I74" s="3"/>
      <c r="J74" s="7">
        <f t="shared" si="9"/>
        <v>5.3146258503401365E-4</v>
      </c>
      <c r="K74" s="3"/>
      <c r="L74" s="8">
        <f t="shared" si="10"/>
        <v>-600</v>
      </c>
      <c r="M74" s="3"/>
      <c r="N74" s="7">
        <f t="shared" si="11"/>
        <v>-1</v>
      </c>
      <c r="O74" s="12"/>
      <c r="P74" s="8"/>
      <c r="Q74" s="3"/>
      <c r="R74" s="7">
        <f t="shared" si="12"/>
        <v>0</v>
      </c>
      <c r="S74" s="3"/>
      <c r="T74" s="8">
        <v>4800</v>
      </c>
      <c r="U74" s="3"/>
      <c r="V74" s="7">
        <f t="shared" si="13"/>
        <v>7.8839482812992747E-4</v>
      </c>
      <c r="W74" s="3"/>
      <c r="X74" s="8">
        <f t="shared" si="14"/>
        <v>-4800</v>
      </c>
      <c r="Y74" s="3"/>
      <c r="Z74" s="7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","6285"," - ","JANITORIAL SERVICES")</f>
        <v xml:space="preserve">          6285 - JANITORIAL SERVICES</v>
      </c>
      <c r="C75" s="12"/>
      <c r="D75" s="8">
        <v>14084.39</v>
      </c>
      <c r="E75" s="3"/>
      <c r="F75" s="7">
        <f t="shared" si="8"/>
        <v>1.0126692312957609E-2</v>
      </c>
      <c r="G75" s="3"/>
      <c r="H75" s="8">
        <v>14859</v>
      </c>
      <c r="I75" s="3"/>
      <c r="J75" s="7">
        <f t="shared" si="9"/>
        <v>1.3161670918367348E-2</v>
      </c>
      <c r="K75" s="3"/>
      <c r="L75" s="8">
        <f t="shared" si="10"/>
        <v>-774.61000000000058</v>
      </c>
      <c r="M75" s="3"/>
      <c r="N75" s="7">
        <f t="shared" si="11"/>
        <v>-5.2130695201561383E-2</v>
      </c>
      <c r="O75" s="12"/>
      <c r="P75" s="8">
        <v>100862.26</v>
      </c>
      <c r="Q75" s="3"/>
      <c r="R75" s="7">
        <f t="shared" si="12"/>
        <v>1.2902689830229248E-2</v>
      </c>
      <c r="S75" s="3"/>
      <c r="T75" s="8">
        <v>115728</v>
      </c>
      <c r="U75" s="3"/>
      <c r="V75" s="7">
        <f t="shared" si="13"/>
        <v>1.9008199306212552E-2</v>
      </c>
      <c r="W75" s="3"/>
      <c r="X75" s="8">
        <f t="shared" si="14"/>
        <v>-14865.740000000005</v>
      </c>
      <c r="Y75" s="3"/>
      <c r="Z75" s="7">
        <f t="shared" si="15"/>
        <v>-0.12845413383105217</v>
      </c>
    </row>
    <row r="76" spans="1:26" s="70" customFormat="1" ht="15" hidden="1" customHeight="1" outlineLevel="2" x14ac:dyDescent="0.3">
      <c r="A76" s="26"/>
      <c r="B76" s="12" t="str">
        <f>CONCATENATE("          ","6286"," - ","LAUNDRY EXPENSE")</f>
        <v xml:space="preserve">          6286 - LAUNDRY EXPENSE</v>
      </c>
      <c r="C76" s="12"/>
      <c r="D76" s="8">
        <v>2817.59</v>
      </c>
      <c r="E76" s="3"/>
      <c r="F76" s="7">
        <f t="shared" si="8"/>
        <v>2.0258503913954547E-3</v>
      </c>
      <c r="G76" s="3"/>
      <c r="H76" s="8">
        <v>4767</v>
      </c>
      <c r="I76" s="3"/>
      <c r="J76" s="7">
        <f t="shared" si="9"/>
        <v>4.2224702380952378E-3</v>
      </c>
      <c r="K76" s="3"/>
      <c r="L76" s="8">
        <f t="shared" si="10"/>
        <v>-1949.4099999999999</v>
      </c>
      <c r="M76" s="3"/>
      <c r="N76" s="7">
        <f t="shared" si="11"/>
        <v>-0.40893853576672956</v>
      </c>
      <c r="O76" s="12"/>
      <c r="P76" s="8">
        <v>20303.23</v>
      </c>
      <c r="Q76" s="3"/>
      <c r="R76" s="7">
        <f t="shared" si="12"/>
        <v>2.5972675928717577E-3</v>
      </c>
      <c r="S76" s="3"/>
      <c r="T76" s="8">
        <v>36536</v>
      </c>
      <c r="U76" s="3"/>
      <c r="V76" s="7">
        <f t="shared" si="13"/>
        <v>6.0009986334489647E-3</v>
      </c>
      <c r="W76" s="3"/>
      <c r="X76" s="8">
        <f t="shared" si="14"/>
        <v>-16232.77</v>
      </c>
      <c r="Y76" s="3"/>
      <c r="Z76" s="7">
        <f t="shared" si="15"/>
        <v>-0.44429521567768776</v>
      </c>
    </row>
    <row r="77" spans="1:26" s="69" customFormat="1" ht="15" customHeight="1" outlineLevel="1" collapsed="1" x14ac:dyDescent="0.3">
      <c r="A77" s="25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2">
        <f>SUM(OSRRefD22_14x_0)</f>
        <v>0</v>
      </c>
      <c r="E77" s="2"/>
      <c r="F77" s="6">
        <f t="shared" si="8"/>
        <v>0</v>
      </c>
      <c r="G77" s="2"/>
      <c r="H77" s="2">
        <f>SUM(OSRRefH22_14x_0)</f>
        <v>0</v>
      </c>
      <c r="I77" s="2"/>
      <c r="J77" s="6">
        <f t="shared" si="9"/>
        <v>0</v>
      </c>
      <c r="K77" s="2"/>
      <c r="L77" s="2">
        <f t="shared" si="10"/>
        <v>0</v>
      </c>
      <c r="M77" s="2"/>
      <c r="N77" s="6">
        <f t="shared" si="11"/>
        <v>0</v>
      </c>
      <c r="O77" s="14"/>
      <c r="P77" s="2">
        <f>SUM(OSRRefP22_14x_0)</f>
        <v>0</v>
      </c>
      <c r="Q77" s="2"/>
      <c r="R77" s="6">
        <f t="shared" si="12"/>
        <v>0</v>
      </c>
      <c r="S77" s="2"/>
      <c r="T77" s="2">
        <f>SUM(OSRRefT22_14x_0)</f>
        <v>795</v>
      </c>
      <c r="U77" s="2"/>
      <c r="V77" s="6">
        <f t="shared" si="13"/>
        <v>1.3057789340901923E-4</v>
      </c>
      <c r="W77" s="2"/>
      <c r="X77" s="2">
        <f t="shared" si="14"/>
        <v>-795</v>
      </c>
      <c r="Y77" s="2"/>
      <c r="Z77" s="6">
        <f t="shared" si="15"/>
        <v>-1</v>
      </c>
    </row>
    <row r="78" spans="1:26" s="70" customFormat="1" ht="15" hidden="1" customHeight="1" outlineLevel="2" x14ac:dyDescent="0.3">
      <c r="A78" s="26"/>
      <c r="B78" s="12" t="str">
        <f>CONCATENATE("          ","6258"," - ","MEMBERSHIP DUES")</f>
        <v xml:space="preserve">          6258 - MEMBERSHIP DUES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/>
      <c r="Q78" s="3"/>
      <c r="R78" s="7">
        <f t="shared" si="12"/>
        <v>0</v>
      </c>
      <c r="S78" s="3"/>
      <c r="T78" s="8">
        <v>795</v>
      </c>
      <c r="U78" s="3"/>
      <c r="V78" s="7">
        <f t="shared" si="13"/>
        <v>1.3057789340901923E-4</v>
      </c>
      <c r="W78" s="3"/>
      <c r="X78" s="8">
        <f t="shared" si="14"/>
        <v>-795</v>
      </c>
      <c r="Y78" s="3"/>
      <c r="Z78" s="7">
        <f t="shared" si="15"/>
        <v>-1</v>
      </c>
    </row>
    <row r="79" spans="1:26" s="69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SUM(OSRRefD22_15x_0)</f>
        <v>27451.940000000002</v>
      </c>
      <c r="E79" s="2"/>
      <c r="F79" s="6">
        <f t="shared" si="8"/>
        <v>1.9737975856517289E-2</v>
      </c>
      <c r="G79" s="2"/>
      <c r="H79" s="2">
        <f>SUM(OSRRefH22_15x_0)</f>
        <v>29500</v>
      </c>
      <c r="I79" s="2"/>
      <c r="J79" s="6">
        <f t="shared" si="9"/>
        <v>2.6130243764172334E-2</v>
      </c>
      <c r="K79" s="2"/>
      <c r="L79" s="2">
        <f t="shared" si="10"/>
        <v>-2048.0599999999977</v>
      </c>
      <c r="M79" s="2"/>
      <c r="N79" s="6">
        <f t="shared" si="11"/>
        <v>-6.9425762711864333E-2</v>
      </c>
      <c r="O79" s="14"/>
      <c r="P79" s="2">
        <f>SUM(OSRRefP22_15x_0)</f>
        <v>246201.64</v>
      </c>
      <c r="Q79" s="2"/>
      <c r="R79" s="6">
        <f t="shared" si="12"/>
        <v>3.1495064621928588E-2</v>
      </c>
      <c r="S79" s="2"/>
      <c r="T79" s="2">
        <f>SUM(OSRRefT22_15x_0)</f>
        <v>244100</v>
      </c>
      <c r="U79" s="2"/>
      <c r="V79" s="6">
        <f t="shared" si="13"/>
        <v>4.0093161988857352E-2</v>
      </c>
      <c r="W79" s="2"/>
      <c r="X79" s="2">
        <f t="shared" si="14"/>
        <v>2101.640000000014</v>
      </c>
      <c r="Y79" s="2"/>
      <c r="Z79" s="6">
        <f t="shared" si="15"/>
        <v>8.6097501024171002E-3</v>
      </c>
    </row>
    <row r="80" spans="1:26" s="70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8"/>
      <c r="E80" s="3"/>
      <c r="F80" s="7">
        <f t="shared" si="8"/>
        <v>0</v>
      </c>
      <c r="G80" s="3"/>
      <c r="H80" s="8">
        <v>342</v>
      </c>
      <c r="I80" s="3"/>
      <c r="J80" s="7">
        <f t="shared" si="9"/>
        <v>3.0293367346938776E-4</v>
      </c>
      <c r="K80" s="3"/>
      <c r="L80" s="8">
        <f t="shared" si="10"/>
        <v>-342</v>
      </c>
      <c r="M80" s="3"/>
      <c r="N80" s="7">
        <f t="shared" si="11"/>
        <v>-1</v>
      </c>
      <c r="O80" s="12"/>
      <c r="P80" s="8">
        <v>336.98</v>
      </c>
      <c r="Q80" s="3"/>
      <c r="R80" s="7">
        <f t="shared" si="12"/>
        <v>4.3107783020037948E-5</v>
      </c>
      <c r="S80" s="3"/>
      <c r="T80" s="8">
        <v>2736</v>
      </c>
      <c r="U80" s="3"/>
      <c r="V80" s="7">
        <f t="shared" si="13"/>
        <v>4.4938505203405866E-4</v>
      </c>
      <c r="W80" s="3"/>
      <c r="X80" s="8">
        <f t="shared" si="14"/>
        <v>-2399.02</v>
      </c>
      <c r="Y80" s="3"/>
      <c r="Z80" s="7">
        <f t="shared" si="15"/>
        <v>-0.87683479532163744</v>
      </c>
    </row>
    <row r="81" spans="1:26" s="70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8">
        <v>158.76</v>
      </c>
      <c r="E81" s="3"/>
      <c r="F81" s="7">
        <f t="shared" si="8"/>
        <v>1.1414861925899168E-4</v>
      </c>
      <c r="G81" s="3"/>
      <c r="H81" s="8"/>
      <c r="I81" s="3"/>
      <c r="J81" s="7">
        <f t="shared" si="9"/>
        <v>0</v>
      </c>
      <c r="K81" s="3"/>
      <c r="L81" s="8">
        <f t="shared" si="10"/>
        <v>158.76</v>
      </c>
      <c r="M81" s="3"/>
      <c r="N81" s="7">
        <f t="shared" si="11"/>
        <v>0</v>
      </c>
      <c r="O81" s="12"/>
      <c r="P81" s="8">
        <v>158.76</v>
      </c>
      <c r="Q81" s="3"/>
      <c r="R81" s="7">
        <f t="shared" si="12"/>
        <v>2.0309192332664323E-5</v>
      </c>
      <c r="S81" s="3"/>
      <c r="T81" s="8"/>
      <c r="U81" s="3"/>
      <c r="V81" s="7">
        <f t="shared" si="13"/>
        <v>0</v>
      </c>
      <c r="W81" s="3"/>
      <c r="X81" s="8">
        <f t="shared" si="14"/>
        <v>158.76</v>
      </c>
      <c r="Y81" s="3"/>
      <c r="Z81" s="7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","6237"," - ","JANITORIAL SUPPLIES")</f>
        <v xml:space="preserve">          6237 - JANITORIAL SUPPLIES</v>
      </c>
      <c r="C82" s="12"/>
      <c r="D82" s="8">
        <v>9053.85</v>
      </c>
      <c r="E82" s="3"/>
      <c r="F82" s="7">
        <f t="shared" si="8"/>
        <v>6.5097283728774375E-3</v>
      </c>
      <c r="G82" s="3"/>
      <c r="H82" s="8">
        <v>9750</v>
      </c>
      <c r="I82" s="3"/>
      <c r="J82" s="7">
        <f t="shared" si="9"/>
        <v>8.6362670068027211E-3</v>
      </c>
      <c r="K82" s="3"/>
      <c r="L82" s="8">
        <f t="shared" si="10"/>
        <v>-696.14999999999964</v>
      </c>
      <c r="M82" s="3"/>
      <c r="N82" s="7">
        <f t="shared" si="11"/>
        <v>-7.1399999999999963E-2</v>
      </c>
      <c r="O82" s="12"/>
      <c r="P82" s="8">
        <v>43089.99</v>
      </c>
      <c r="Q82" s="3"/>
      <c r="R82" s="7">
        <f t="shared" si="12"/>
        <v>5.5122379347605334E-3</v>
      </c>
      <c r="S82" s="3"/>
      <c r="T82" s="8">
        <v>81000</v>
      </c>
      <c r="U82" s="3"/>
      <c r="V82" s="7">
        <f t="shared" si="13"/>
        <v>1.3304162724692526E-2</v>
      </c>
      <c r="W82" s="3"/>
      <c r="X82" s="8">
        <f t="shared" si="14"/>
        <v>-37910.01</v>
      </c>
      <c r="Y82" s="3"/>
      <c r="Z82" s="7">
        <f t="shared" si="15"/>
        <v>-0.46802481481481484</v>
      </c>
    </row>
    <row r="83" spans="1:26" s="70" customFormat="1" ht="15" hidden="1" customHeight="1" outlineLevel="2" x14ac:dyDescent="0.3">
      <c r="A83" s="26"/>
      <c r="B83" s="12" t="str">
        <f>CONCATENATE("          ","6239"," - ","KITCHEN SUPPLIES")</f>
        <v xml:space="preserve">          6239 - KITCHEN SUPPLIES</v>
      </c>
      <c r="C83" s="12"/>
      <c r="D83" s="8">
        <v>2471.66</v>
      </c>
      <c r="E83" s="3"/>
      <c r="F83" s="7">
        <f t="shared" si="8"/>
        <v>1.7771263307991899E-3</v>
      </c>
      <c r="G83" s="3"/>
      <c r="H83" s="8">
        <v>3550</v>
      </c>
      <c r="I83" s="3"/>
      <c r="J83" s="7">
        <f t="shared" si="9"/>
        <v>3.1444869614512473E-3</v>
      </c>
      <c r="K83" s="3"/>
      <c r="L83" s="8">
        <f t="shared" si="10"/>
        <v>-1078.3400000000001</v>
      </c>
      <c r="M83" s="3"/>
      <c r="N83" s="7">
        <f t="shared" si="11"/>
        <v>-0.30375774647887327</v>
      </c>
      <c r="O83" s="12"/>
      <c r="P83" s="8">
        <v>27900.25</v>
      </c>
      <c r="Q83" s="3"/>
      <c r="R83" s="7">
        <f t="shared" si="12"/>
        <v>3.5691077310368974E-3</v>
      </c>
      <c r="S83" s="3"/>
      <c r="T83" s="8">
        <v>35500</v>
      </c>
      <c r="U83" s="3"/>
      <c r="V83" s="7">
        <f t="shared" si="13"/>
        <v>5.8308367497109216E-3</v>
      </c>
      <c r="W83" s="3"/>
      <c r="X83" s="8">
        <f t="shared" si="14"/>
        <v>-7599.75</v>
      </c>
      <c r="Y83" s="3"/>
      <c r="Z83" s="7">
        <f t="shared" si="15"/>
        <v>-0.21407746478873241</v>
      </c>
    </row>
    <row r="84" spans="1:26" s="70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8">
        <v>1849.1</v>
      </c>
      <c r="E84" s="3"/>
      <c r="F84" s="7">
        <f t="shared" si="8"/>
        <v>1.329504987854633E-3</v>
      </c>
      <c r="G84" s="3"/>
      <c r="H84" s="8">
        <v>1445</v>
      </c>
      <c r="I84" s="3"/>
      <c r="J84" s="7">
        <f t="shared" si="9"/>
        <v>1.2799390589569161E-3</v>
      </c>
      <c r="K84" s="3"/>
      <c r="L84" s="8">
        <f t="shared" si="10"/>
        <v>404.09999999999991</v>
      </c>
      <c r="M84" s="3"/>
      <c r="N84" s="7">
        <f t="shared" si="11"/>
        <v>0.27965397923875424</v>
      </c>
      <c r="O84" s="12"/>
      <c r="P84" s="8">
        <v>15998.69</v>
      </c>
      <c r="Q84" s="3"/>
      <c r="R84" s="7">
        <f t="shared" si="12"/>
        <v>2.0466142118964058E-3</v>
      </c>
      <c r="S84" s="3"/>
      <c r="T84" s="8">
        <v>11560</v>
      </c>
      <c r="U84" s="3"/>
      <c r="V84" s="7">
        <f t="shared" si="13"/>
        <v>1.8987175444129087E-3</v>
      </c>
      <c r="W84" s="3"/>
      <c r="X84" s="8">
        <f t="shared" si="14"/>
        <v>4438.6900000000005</v>
      </c>
      <c r="Y84" s="3"/>
      <c r="Z84" s="7">
        <f t="shared" si="15"/>
        <v>0.38396972318339107</v>
      </c>
    </row>
    <row r="85" spans="1:26" s="70" customFormat="1" ht="15" hidden="1" customHeight="1" outlineLevel="2" x14ac:dyDescent="0.3">
      <c r="A85" s="26"/>
      <c r="B85" s="12" t="str">
        <f>CONCATENATE("          ","6243"," - ","PAPER SUPPLIES")</f>
        <v xml:space="preserve">          6243 - PAPER SUPPLIES</v>
      </c>
      <c r="C85" s="12"/>
      <c r="D85" s="8">
        <v>13549.11</v>
      </c>
      <c r="E85" s="3"/>
      <c r="F85" s="7">
        <f t="shared" si="8"/>
        <v>9.7418253885625909E-3</v>
      </c>
      <c r="G85" s="3"/>
      <c r="H85" s="8">
        <v>13300</v>
      </c>
      <c r="I85" s="3"/>
      <c r="J85" s="7">
        <f t="shared" si="9"/>
        <v>1.1780753968253968E-2</v>
      </c>
      <c r="K85" s="3"/>
      <c r="L85" s="8">
        <f t="shared" si="10"/>
        <v>249.11000000000058</v>
      </c>
      <c r="M85" s="3"/>
      <c r="N85" s="7">
        <f t="shared" si="11"/>
        <v>1.8730075187969968E-2</v>
      </c>
      <c r="O85" s="12"/>
      <c r="P85" s="8">
        <v>151491.57</v>
      </c>
      <c r="Q85" s="3"/>
      <c r="R85" s="7">
        <f t="shared" si="12"/>
        <v>1.9379386696316961E-2</v>
      </c>
      <c r="S85" s="3"/>
      <c r="T85" s="8">
        <v>104400</v>
      </c>
      <c r="U85" s="3"/>
      <c r="V85" s="7">
        <f t="shared" si="13"/>
        <v>1.7147587511825921E-2</v>
      </c>
      <c r="W85" s="3"/>
      <c r="X85" s="8">
        <f t="shared" si="14"/>
        <v>47091.570000000007</v>
      </c>
      <c r="Y85" s="3"/>
      <c r="Z85" s="7">
        <f t="shared" si="15"/>
        <v>0.45106867816091961</v>
      </c>
    </row>
    <row r="86" spans="1:26" s="70" customFormat="1" ht="15" hidden="1" customHeight="1" outlineLevel="2" x14ac:dyDescent="0.3">
      <c r="A86" s="26"/>
      <c r="B86" s="12" t="str">
        <f>CONCATENATE("          ","6244"," - ","SAFETY SUPPLY EXPENSE")</f>
        <v xml:space="preserve">          6244 - SAFETY SUPPLY EXPENSE</v>
      </c>
      <c r="C86" s="12"/>
      <c r="D86" s="8"/>
      <c r="E86" s="3"/>
      <c r="F86" s="7">
        <f t="shared" si="8"/>
        <v>0</v>
      </c>
      <c r="G86" s="3"/>
      <c r="H86" s="8">
        <v>525</v>
      </c>
      <c r="I86" s="3"/>
      <c r="J86" s="7">
        <f t="shared" si="9"/>
        <v>4.6502976190476188E-4</v>
      </c>
      <c r="K86" s="3"/>
      <c r="L86" s="8">
        <f t="shared" si="10"/>
        <v>-525</v>
      </c>
      <c r="M86" s="3"/>
      <c r="N86" s="7">
        <f t="shared" si="11"/>
        <v>-1</v>
      </c>
      <c r="O86" s="12"/>
      <c r="P86" s="8"/>
      <c r="Q86" s="3"/>
      <c r="R86" s="7">
        <f t="shared" si="12"/>
        <v>0</v>
      </c>
      <c r="S86" s="3"/>
      <c r="T86" s="8">
        <v>4200</v>
      </c>
      <c r="U86" s="3"/>
      <c r="V86" s="7">
        <f t="shared" si="13"/>
        <v>6.8984547461368659E-4</v>
      </c>
      <c r="W86" s="3"/>
      <c r="X86" s="8">
        <f t="shared" si="14"/>
        <v>-4200</v>
      </c>
      <c r="Y86" s="3"/>
      <c r="Z86" s="7">
        <f t="shared" si="15"/>
        <v>-1</v>
      </c>
    </row>
    <row r="87" spans="1:26" s="70" customFormat="1" ht="15" hidden="1" customHeight="1" outlineLevel="2" x14ac:dyDescent="0.3">
      <c r="A87" s="26"/>
      <c r="B87" s="12" t="str">
        <f>CONCATENATE("          ","6247"," - ","STORE SUPPLIES")</f>
        <v xml:space="preserve">          6247 - STORE SUPPLIES</v>
      </c>
      <c r="C87" s="12"/>
      <c r="D87" s="8">
        <v>369.46</v>
      </c>
      <c r="E87" s="3"/>
      <c r="F87" s="7">
        <f t="shared" si="8"/>
        <v>2.6564215716444364E-4</v>
      </c>
      <c r="G87" s="3"/>
      <c r="H87" s="8"/>
      <c r="I87" s="3"/>
      <c r="J87" s="7">
        <f t="shared" si="9"/>
        <v>0</v>
      </c>
      <c r="K87" s="3"/>
      <c r="L87" s="8">
        <f t="shared" si="10"/>
        <v>369.46</v>
      </c>
      <c r="M87" s="3"/>
      <c r="N87" s="7">
        <f t="shared" si="11"/>
        <v>0</v>
      </c>
      <c r="O87" s="12"/>
      <c r="P87" s="8">
        <v>1614.17</v>
      </c>
      <c r="Q87" s="3"/>
      <c r="R87" s="7">
        <f t="shared" si="12"/>
        <v>2.0649086034024171E-4</v>
      </c>
      <c r="S87" s="3"/>
      <c r="T87" s="8"/>
      <c r="U87" s="3"/>
      <c r="V87" s="7">
        <f t="shared" si="13"/>
        <v>0</v>
      </c>
      <c r="W87" s="3"/>
      <c r="X87" s="8">
        <f t="shared" si="14"/>
        <v>1614.17</v>
      </c>
      <c r="Y87" s="3"/>
      <c r="Z87" s="7">
        <f t="shared" si="15"/>
        <v>0</v>
      </c>
    </row>
    <row r="88" spans="1:26" s="70" customFormat="1" ht="15" hidden="1" customHeight="1" outlineLevel="2" x14ac:dyDescent="0.3">
      <c r="A88" s="26"/>
      <c r="B88" s="12" t="str">
        <f>CONCATENATE("          ","6248"," - ","UNIFORMS")</f>
        <v xml:space="preserve">          6248 - UNIFORMS</v>
      </c>
      <c r="C88" s="12"/>
      <c r="D88" s="8"/>
      <c r="E88" s="3"/>
      <c r="F88" s="7">
        <f t="shared" si="8"/>
        <v>0</v>
      </c>
      <c r="G88" s="3"/>
      <c r="H88" s="8">
        <v>588</v>
      </c>
      <c r="I88" s="3"/>
      <c r="J88" s="7">
        <f t="shared" si="9"/>
        <v>5.2083333333333333E-4</v>
      </c>
      <c r="K88" s="3"/>
      <c r="L88" s="8">
        <f t="shared" si="10"/>
        <v>-588</v>
      </c>
      <c r="M88" s="3"/>
      <c r="N88" s="7">
        <f t="shared" si="11"/>
        <v>-1</v>
      </c>
      <c r="O88" s="12"/>
      <c r="P88" s="8">
        <v>5611.23</v>
      </c>
      <c r="Q88" s="3"/>
      <c r="R88" s="7">
        <f t="shared" si="12"/>
        <v>7.1781021222484267E-4</v>
      </c>
      <c r="S88" s="3"/>
      <c r="T88" s="8">
        <v>4704</v>
      </c>
      <c r="U88" s="3"/>
      <c r="V88" s="7">
        <f t="shared" si="13"/>
        <v>7.7262693156732892E-4</v>
      </c>
      <c r="W88" s="3"/>
      <c r="X88" s="8">
        <f t="shared" si="14"/>
        <v>907.22999999999956</v>
      </c>
      <c r="Y88" s="3"/>
      <c r="Z88" s="7">
        <f t="shared" si="15"/>
        <v>0.19286352040816318</v>
      </c>
    </row>
    <row r="89" spans="1:26" s="69" customFormat="1" ht="15" customHeight="1" outlineLevel="1" collapsed="1" x14ac:dyDescent="0.3">
      <c r="A89" s="25"/>
      <c r="B89" s="14" t="str">
        <f>CONCATENATE("     ","Telephone/Data Lines                              ")</f>
        <v xml:space="preserve">     Telephone/Data Lines                              </v>
      </c>
      <c r="C89" s="14"/>
      <c r="D89" s="2">
        <f>SUM(OSRRefD22_16x_0)</f>
        <v>734</v>
      </c>
      <c r="E89" s="2"/>
      <c r="F89" s="6">
        <f t="shared" ref="F89:F96" si="16">IF(D$12=0,0,D89/D$12)</f>
        <v>5.2774682877361999E-4</v>
      </c>
      <c r="G89" s="2"/>
      <c r="H89" s="2">
        <f>SUM(OSRRefH22_16x_0)</f>
        <v>601</v>
      </c>
      <c r="I89" s="2"/>
      <c r="J89" s="6">
        <f t="shared" ref="J89:J96" si="17">IF(H$12=0,0,H89/H$12)</f>
        <v>5.3234835600907029E-4</v>
      </c>
      <c r="K89" s="2"/>
      <c r="L89" s="2">
        <f t="shared" ref="L89:L96" si="18">+D89-H89</f>
        <v>133</v>
      </c>
      <c r="M89" s="2"/>
      <c r="N89" s="6">
        <f t="shared" ref="N89:N96" si="19">IF(H89=0,0,L89/H89)</f>
        <v>0.22129783693843594</v>
      </c>
      <c r="O89" s="14"/>
      <c r="P89" s="2">
        <f>SUM(OSRRefP22_16x_0)</f>
        <v>5753.85</v>
      </c>
      <c r="Q89" s="2"/>
      <c r="R89" s="6">
        <f t="shared" ref="R89:R96" si="20">IF(P$12=0,0,P89/P$12)</f>
        <v>7.3605471342467013E-4</v>
      </c>
      <c r="S89" s="2"/>
      <c r="T89" s="2">
        <f>SUM(OSRRefT22_16x_0)</f>
        <v>4808</v>
      </c>
      <c r="U89" s="2"/>
      <c r="V89" s="6">
        <f t="shared" ref="V89:V96" si="21">IF(T$12=0,0,T89/T$12)</f>
        <v>7.8970881951014407E-4</v>
      </c>
      <c r="W89" s="2"/>
      <c r="X89" s="2">
        <f t="shared" ref="X89:X96" si="22">+P89-T89</f>
        <v>945.85000000000036</v>
      </c>
      <c r="Y89" s="2"/>
      <c r="Z89" s="6">
        <f t="shared" ref="Z89:Z96" si="23">IF(T89=0,0,X89/T89)</f>
        <v>0.19672420965058243</v>
      </c>
    </row>
    <row r="90" spans="1:26" s="70" customFormat="1" ht="15" hidden="1" customHeight="1" outlineLevel="2" x14ac:dyDescent="0.3">
      <c r="A90" s="26"/>
      <c r="B90" s="12" t="str">
        <f>CONCATENATE("          ","6303"," - ","DATA PHONE LINES")</f>
        <v xml:space="preserve">          6303 - DATA PHONE LINES</v>
      </c>
      <c r="C90" s="12"/>
      <c r="D90" s="8"/>
      <c r="E90" s="3"/>
      <c r="F90" s="7">
        <f t="shared" si="16"/>
        <v>0</v>
      </c>
      <c r="G90" s="3"/>
      <c r="H90" s="8">
        <v>58</v>
      </c>
      <c r="I90" s="3"/>
      <c r="J90" s="7">
        <f t="shared" si="17"/>
        <v>5.1374716553287984E-5</v>
      </c>
      <c r="K90" s="3"/>
      <c r="L90" s="8">
        <f t="shared" si="18"/>
        <v>-58</v>
      </c>
      <c r="M90" s="3"/>
      <c r="N90" s="7">
        <f t="shared" si="19"/>
        <v>-1</v>
      </c>
      <c r="O90" s="12"/>
      <c r="P90" s="8"/>
      <c r="Q90" s="3"/>
      <c r="R90" s="7">
        <f t="shared" si="20"/>
        <v>0</v>
      </c>
      <c r="S90" s="3"/>
      <c r="T90" s="8">
        <v>464</v>
      </c>
      <c r="U90" s="3"/>
      <c r="V90" s="7">
        <f t="shared" si="21"/>
        <v>7.6211500052559655E-5</v>
      </c>
      <c r="W90" s="3"/>
      <c r="X90" s="8">
        <f t="shared" si="22"/>
        <v>-464</v>
      </c>
      <c r="Y90" s="3"/>
      <c r="Z90" s="7">
        <f t="shared" si="23"/>
        <v>-1</v>
      </c>
    </row>
    <row r="91" spans="1:26" s="70" customFormat="1" ht="15" hidden="1" customHeight="1" outlineLevel="2" x14ac:dyDescent="0.3">
      <c r="A91" s="26"/>
      <c r="B91" s="12" t="str">
        <f>CONCATENATE("          ","6309"," - ","TELEPHONE")</f>
        <v xml:space="preserve">          6309 - TELEPHONE</v>
      </c>
      <c r="C91" s="12"/>
      <c r="D91" s="8">
        <v>734</v>
      </c>
      <c r="E91" s="3"/>
      <c r="F91" s="7">
        <f t="shared" si="16"/>
        <v>5.2774682877361999E-4</v>
      </c>
      <c r="G91" s="3"/>
      <c r="H91" s="8">
        <v>543</v>
      </c>
      <c r="I91" s="3"/>
      <c r="J91" s="7">
        <f t="shared" si="17"/>
        <v>4.8097363945578232E-4</v>
      </c>
      <c r="K91" s="3"/>
      <c r="L91" s="8">
        <f t="shared" si="18"/>
        <v>191</v>
      </c>
      <c r="M91" s="3"/>
      <c r="N91" s="7">
        <f t="shared" si="19"/>
        <v>0.35174953959484345</v>
      </c>
      <c r="O91" s="12"/>
      <c r="P91" s="8">
        <v>5753.85</v>
      </c>
      <c r="Q91" s="3"/>
      <c r="R91" s="7">
        <f t="shared" si="20"/>
        <v>7.3605471342467013E-4</v>
      </c>
      <c r="S91" s="3"/>
      <c r="T91" s="8">
        <v>4344</v>
      </c>
      <c r="U91" s="3"/>
      <c r="V91" s="7">
        <f t="shared" si="21"/>
        <v>7.1349731945758441E-4</v>
      </c>
      <c r="W91" s="3"/>
      <c r="X91" s="8">
        <f t="shared" si="22"/>
        <v>1409.8500000000004</v>
      </c>
      <c r="Y91" s="3"/>
      <c r="Z91" s="7">
        <f t="shared" si="23"/>
        <v>0.32455110497237577</v>
      </c>
    </row>
    <row r="92" spans="1:26" s="69" customFormat="1" ht="15" customHeight="1" outlineLevel="1" collapsed="1" x14ac:dyDescent="0.3">
      <c r="A92" s="25"/>
      <c r="B92" s="14" t="str">
        <f>CONCATENATE("     ","Training                                          ")</f>
        <v xml:space="preserve">     Training                                          </v>
      </c>
      <c r="C92" s="14"/>
      <c r="D92" s="2">
        <f>SUM(OSRRefD22_17x_0)</f>
        <v>4000</v>
      </c>
      <c r="E92" s="2"/>
      <c r="F92" s="6">
        <f t="shared" si="16"/>
        <v>2.8760045164774929E-3</v>
      </c>
      <c r="G92" s="2"/>
      <c r="H92" s="2">
        <f>SUM(OSRRefH22_17x_0)</f>
        <v>640</v>
      </c>
      <c r="I92" s="2"/>
      <c r="J92" s="6">
        <f t="shared" si="17"/>
        <v>5.6689342403628119E-4</v>
      </c>
      <c r="K92" s="2"/>
      <c r="L92" s="2">
        <f t="shared" si="18"/>
        <v>3360</v>
      </c>
      <c r="M92" s="2"/>
      <c r="N92" s="6">
        <f t="shared" si="19"/>
        <v>5.25</v>
      </c>
      <c r="O92" s="14"/>
      <c r="P92" s="2">
        <f>SUM(OSRRefP22_17x_0)</f>
        <v>5393.87</v>
      </c>
      <c r="Q92" s="2"/>
      <c r="R92" s="6">
        <f t="shared" si="20"/>
        <v>6.9000468157840843E-4</v>
      </c>
      <c r="S92" s="2"/>
      <c r="T92" s="2">
        <f>SUM(OSRRefT22_17x_0)</f>
        <v>6140</v>
      </c>
      <c r="U92" s="2"/>
      <c r="V92" s="6">
        <f t="shared" si="21"/>
        <v>1.008488384316199E-3</v>
      </c>
      <c r="W92" s="2"/>
      <c r="X92" s="2">
        <f t="shared" si="22"/>
        <v>-746.13000000000011</v>
      </c>
      <c r="Y92" s="2"/>
      <c r="Z92" s="6">
        <f t="shared" si="23"/>
        <v>-0.12151954397394138</v>
      </c>
    </row>
    <row r="93" spans="1:26" s="70" customFormat="1" ht="15" hidden="1" customHeight="1" outlineLevel="2" x14ac:dyDescent="0.3">
      <c r="A93" s="26"/>
      <c r="B93" s="12" t="str">
        <f>CONCATENATE("          ","6376"," - ","TRAINING")</f>
        <v xml:space="preserve">          6376 - TRAINING</v>
      </c>
      <c r="C93" s="12"/>
      <c r="D93" s="8">
        <v>4000</v>
      </c>
      <c r="E93" s="3"/>
      <c r="F93" s="7">
        <f t="shared" si="16"/>
        <v>2.8760045164774929E-3</v>
      </c>
      <c r="G93" s="3"/>
      <c r="H93" s="8">
        <v>640</v>
      </c>
      <c r="I93" s="3"/>
      <c r="J93" s="7">
        <f t="shared" si="17"/>
        <v>5.6689342403628119E-4</v>
      </c>
      <c r="K93" s="3"/>
      <c r="L93" s="8">
        <f t="shared" si="18"/>
        <v>3360</v>
      </c>
      <c r="M93" s="3"/>
      <c r="N93" s="7">
        <f t="shared" si="19"/>
        <v>5.25</v>
      </c>
      <c r="O93" s="12"/>
      <c r="P93" s="8">
        <v>5393.87</v>
      </c>
      <c r="Q93" s="3"/>
      <c r="R93" s="7">
        <f t="shared" si="20"/>
        <v>6.9000468157840843E-4</v>
      </c>
      <c r="S93" s="3"/>
      <c r="T93" s="8">
        <v>6140</v>
      </c>
      <c r="U93" s="3"/>
      <c r="V93" s="7">
        <f t="shared" si="21"/>
        <v>1.008488384316199E-3</v>
      </c>
      <c r="W93" s="3"/>
      <c r="X93" s="8">
        <f t="shared" si="22"/>
        <v>-746.13000000000011</v>
      </c>
      <c r="Y93" s="3"/>
      <c r="Z93" s="7">
        <f t="shared" si="23"/>
        <v>-0.12151954397394138</v>
      </c>
    </row>
    <row r="94" spans="1:26" s="69" customFormat="1" ht="15" customHeight="1" outlineLevel="1" collapsed="1" x14ac:dyDescent="0.3">
      <c r="A94" s="25"/>
      <c r="B94" s="14" t="str">
        <f>CONCATENATE("     ","Travel                                            ")</f>
        <v xml:space="preserve">     Travel                                            </v>
      </c>
      <c r="C94" s="14"/>
      <c r="D94" s="2">
        <f>SUM(OSRRefD22_18x_0)</f>
        <v>0</v>
      </c>
      <c r="E94" s="2"/>
      <c r="F94" s="6">
        <f t="shared" si="16"/>
        <v>0</v>
      </c>
      <c r="G94" s="2"/>
      <c r="H94" s="2">
        <f>SUM(OSRRefH22_18x_0)</f>
        <v>0</v>
      </c>
      <c r="I94" s="2"/>
      <c r="J94" s="6">
        <f t="shared" si="17"/>
        <v>0</v>
      </c>
      <c r="K94" s="2"/>
      <c r="L94" s="2">
        <f t="shared" si="18"/>
        <v>0</v>
      </c>
      <c r="M94" s="2"/>
      <c r="N94" s="6">
        <f t="shared" si="19"/>
        <v>0</v>
      </c>
      <c r="O94" s="14"/>
      <c r="P94" s="2">
        <f>SUM(OSRRefP22_18x_0)</f>
        <v>699.02</v>
      </c>
      <c r="Q94" s="2"/>
      <c r="R94" s="6">
        <f t="shared" si="20"/>
        <v>8.9421338022039649E-5</v>
      </c>
      <c r="S94" s="2"/>
      <c r="T94" s="2">
        <f>SUM(OSRRefT22_18x_0)</f>
        <v>0</v>
      </c>
      <c r="U94" s="2"/>
      <c r="V94" s="6">
        <f t="shared" si="21"/>
        <v>0</v>
      </c>
      <c r="W94" s="2"/>
      <c r="X94" s="2">
        <f t="shared" si="22"/>
        <v>699.02</v>
      </c>
      <c r="Y94" s="2"/>
      <c r="Z94" s="6">
        <f t="shared" si="23"/>
        <v>0</v>
      </c>
    </row>
    <row r="95" spans="1:26" s="70" customFormat="1" ht="15" hidden="1" customHeight="1" outlineLevel="2" x14ac:dyDescent="0.3">
      <c r="A95" s="26"/>
      <c r="B95" s="12" t="str">
        <f>CONCATENATE("          ","6292"," - ","TRAVEL/CONFERENCE")</f>
        <v xml:space="preserve">          6292 - TRAVEL/CONFERENCE</v>
      </c>
      <c r="C95" s="12"/>
      <c r="D95" s="8"/>
      <c r="E95" s="3"/>
      <c r="F95" s="7">
        <f t="shared" si="16"/>
        <v>0</v>
      </c>
      <c r="G95" s="3"/>
      <c r="H95" s="8"/>
      <c r="I95" s="3"/>
      <c r="J95" s="7">
        <f t="shared" si="17"/>
        <v>0</v>
      </c>
      <c r="K95" s="3"/>
      <c r="L95" s="8">
        <f t="shared" si="18"/>
        <v>0</v>
      </c>
      <c r="M95" s="3"/>
      <c r="N95" s="7">
        <f t="shared" si="19"/>
        <v>0</v>
      </c>
      <c r="O95" s="12"/>
      <c r="P95" s="8">
        <v>595</v>
      </c>
      <c r="Q95" s="3"/>
      <c r="R95" s="7">
        <f t="shared" si="20"/>
        <v>7.6114697895787815E-5</v>
      </c>
      <c r="S95" s="3"/>
      <c r="T95" s="8"/>
      <c r="U95" s="3"/>
      <c r="V95" s="7">
        <f t="shared" si="21"/>
        <v>0</v>
      </c>
      <c r="W95" s="3"/>
      <c r="X95" s="8">
        <f t="shared" si="22"/>
        <v>595</v>
      </c>
      <c r="Y95" s="3"/>
      <c r="Z95" s="7">
        <f t="shared" si="23"/>
        <v>0</v>
      </c>
    </row>
    <row r="96" spans="1:26" s="70" customFormat="1" ht="15" hidden="1" customHeight="1" outlineLevel="2" x14ac:dyDescent="0.3">
      <c r="A96" s="26"/>
      <c r="B96" s="12" t="str">
        <f>CONCATENATE("          ","6298"," - ","VEHICLE MILEAGE")</f>
        <v xml:space="preserve">          6298 - VEHICLE MILEAGE</v>
      </c>
      <c r="C96" s="12"/>
      <c r="D96" s="8"/>
      <c r="E96" s="3"/>
      <c r="F96" s="7">
        <f t="shared" si="16"/>
        <v>0</v>
      </c>
      <c r="G96" s="3"/>
      <c r="H96" s="8"/>
      <c r="I96" s="3"/>
      <c r="J96" s="7">
        <f t="shared" si="17"/>
        <v>0</v>
      </c>
      <c r="K96" s="3"/>
      <c r="L96" s="8">
        <f t="shared" si="18"/>
        <v>0</v>
      </c>
      <c r="M96" s="3"/>
      <c r="N96" s="7">
        <f t="shared" si="19"/>
        <v>0</v>
      </c>
      <c r="O96" s="12"/>
      <c r="P96" s="8">
        <v>104.02</v>
      </c>
      <c r="Q96" s="3"/>
      <c r="R96" s="7">
        <f t="shared" si="20"/>
        <v>1.3306640126251845E-5</v>
      </c>
      <c r="S96" s="3"/>
      <c r="T96" s="8"/>
      <c r="U96" s="3"/>
      <c r="V96" s="7">
        <f t="shared" si="21"/>
        <v>0</v>
      </c>
      <c r="W96" s="3"/>
      <c r="X96" s="8">
        <f t="shared" si="22"/>
        <v>104.02</v>
      </c>
      <c r="Y96" s="3"/>
      <c r="Z96" s="7">
        <f t="shared" si="23"/>
        <v>0</v>
      </c>
    </row>
    <row r="97" spans="1:26" s="65" customFormat="1" ht="15" customHeight="1" x14ac:dyDescent="0.3">
      <c r="A97" s="35"/>
      <c r="B97" s="35"/>
      <c r="C97" s="35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5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3" customFormat="1" ht="15" customHeight="1" x14ac:dyDescent="0.3">
      <c r="A98" s="11"/>
      <c r="B98" s="27" t="s">
        <v>291</v>
      </c>
      <c r="C98" s="11"/>
      <c r="D98" s="5">
        <f>SUM(0)</f>
        <v>0</v>
      </c>
      <c r="E98" s="5"/>
      <c r="F98" s="13">
        <f>IF(D$12=0,0,D98/D$12)</f>
        <v>0</v>
      </c>
      <c r="G98" s="5"/>
      <c r="H98" s="5">
        <f>SUM(0)</f>
        <v>0</v>
      </c>
      <c r="I98" s="5"/>
      <c r="J98" s="13">
        <f>IF(H$12=0,0,H98/H$12)</f>
        <v>0</v>
      </c>
      <c r="K98" s="5"/>
      <c r="L98" s="5">
        <f>+D98-H98</f>
        <v>0</v>
      </c>
      <c r="M98" s="5"/>
      <c r="N98" s="13">
        <f>IF(H98=0,0,L98/H98)</f>
        <v>0</v>
      </c>
      <c r="O98" s="11"/>
      <c r="P98" s="5">
        <f>SUM(0)</f>
        <v>0</v>
      </c>
      <c r="Q98" s="5"/>
      <c r="R98" s="13">
        <f>IF(P$12=0,0,P98/P$12)</f>
        <v>0</v>
      </c>
      <c r="S98" s="5"/>
      <c r="T98" s="5">
        <f>SUM(0)</f>
        <v>0</v>
      </c>
      <c r="U98" s="5"/>
      <c r="V98" s="13">
        <f>IF(T$12=0,0,T98/T$12)</f>
        <v>0</v>
      </c>
      <c r="W98" s="5"/>
      <c r="X98" s="5">
        <f>+P98-T98</f>
        <v>0</v>
      </c>
      <c r="Y98" s="5"/>
      <c r="Z98" s="13">
        <f>IF(T98=0,0,X98/T98)</f>
        <v>0</v>
      </c>
    </row>
    <row r="99" spans="1:26" ht="15" customHeight="1" x14ac:dyDescent="0.3">
      <c r="A99" s="10"/>
      <c r="B99" s="11"/>
      <c r="C99" s="11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O99" s="11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8" t="s">
        <v>292</v>
      </c>
      <c r="C100" s="28"/>
      <c r="D100" s="21">
        <f>+D23-D25+D98</f>
        <v>548335.35999999987</v>
      </c>
      <c r="E100" s="15"/>
      <c r="F100" s="22">
        <f>IF(D$12=0,0,D100/D$12)</f>
        <v>0.3942537429760779</v>
      </c>
      <c r="G100" s="15"/>
      <c r="H100" s="21">
        <f>+H23-H25+H98</f>
        <v>275076.52176273393</v>
      </c>
      <c r="I100" s="15"/>
      <c r="J100" s="22">
        <f>IF(H$12=0,0,H100/H$12)</f>
        <v>0.24365479889697947</v>
      </c>
      <c r="K100" s="16"/>
      <c r="L100" s="21">
        <f>+D100-H100</f>
        <v>273258.83823726594</v>
      </c>
      <c r="M100" s="16"/>
      <c r="N100" s="22">
        <f>IF(H100=0,0,L100/H100)</f>
        <v>0.99339208045157767</v>
      </c>
      <c r="O100" s="27"/>
      <c r="P100" s="21">
        <f>+P23-P25+P98</f>
        <v>2317888.7600000016</v>
      </c>
      <c r="Q100" s="15"/>
      <c r="R100" s="22">
        <f>IF(P$12=0,0,P100/P$12)</f>
        <v>0.29651328188813841</v>
      </c>
      <c r="S100" s="15"/>
      <c r="T100" s="21">
        <f>+T23-T25+T98</f>
        <v>320885.03285322292</v>
      </c>
      <c r="U100" s="15"/>
      <c r="V100" s="22">
        <f>IF(T$12=0,0,T100/T$12)</f>
        <v>5.2705020901204755E-2</v>
      </c>
      <c r="W100" s="16"/>
      <c r="X100" s="21">
        <f>+P100-T100</f>
        <v>1997003.7271467787</v>
      </c>
      <c r="Y100" s="16"/>
      <c r="Z100" s="22">
        <f>IF(T100=0,0,X100/T100)</f>
        <v>6.2234243504284441</v>
      </c>
    </row>
    <row r="101" spans="1:26" ht="15" customHeight="1" x14ac:dyDescent="0.3">
      <c r="A101" s="10"/>
      <c r="B101" s="11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3" customFormat="1" ht="15" customHeight="1" x14ac:dyDescent="0.3">
      <c r="A102" s="49"/>
      <c r="B102" s="11" t="s">
        <v>293</v>
      </c>
      <c r="C102" s="11"/>
      <c r="D102" s="5">
        <v>125121.06</v>
      </c>
      <c r="E102" s="5"/>
      <c r="F102" s="13">
        <f>IF(D$12=0,0,D102/D$12)</f>
        <v>8.9962183416612843E-2</v>
      </c>
      <c r="G102" s="5"/>
      <c r="H102" s="5">
        <v>122893</v>
      </c>
      <c r="I102" s="5"/>
      <c r="J102" s="13">
        <f>IF(H$12=0,0,H102/H$12)</f>
        <v>0.10885505243764172</v>
      </c>
      <c r="K102" s="5"/>
      <c r="L102" s="5">
        <f>+D102-H102</f>
        <v>2228.0599999999977</v>
      </c>
      <c r="M102" s="5"/>
      <c r="N102" s="13">
        <f>IF(H102=0,0,L102/H102)</f>
        <v>1.8130080639255267E-2</v>
      </c>
      <c r="O102" s="11"/>
      <c r="P102" s="5">
        <v>975757.76</v>
      </c>
      <c r="Q102" s="5"/>
      <c r="R102" s="13">
        <f>IF(P$12=0,0,P102/P$12)</f>
        <v>0.12482270104516072</v>
      </c>
      <c r="S102" s="5"/>
      <c r="T102" s="5">
        <v>744282</v>
      </c>
      <c r="U102" s="5"/>
      <c r="V102" s="13">
        <f>IF(T$12=0,0,T102/T$12)</f>
        <v>0.12224751655629139</v>
      </c>
      <c r="W102" s="5"/>
      <c r="X102" s="5">
        <f>+P102-T102</f>
        <v>231475.76</v>
      </c>
      <c r="Y102" s="5"/>
      <c r="Z102" s="13">
        <f>IF(T102=0,0,X102/T102)</f>
        <v>0.31100545223450254</v>
      </c>
    </row>
    <row r="103" spans="1:26" ht="15" customHeight="1" x14ac:dyDescent="0.3">
      <c r="A103" s="10"/>
      <c r="B103" s="11"/>
      <c r="C103" s="11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O103" s="11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11"/>
      <c r="B104" s="28" t="s">
        <v>294</v>
      </c>
      <c r="C104" s="28"/>
      <c r="D104" s="33">
        <f>+D100-D102</f>
        <v>423214.29999999987</v>
      </c>
      <c r="E104" s="15"/>
      <c r="F104" s="32">
        <f>IF(D$12=0,0,D104/D$12)</f>
        <v>0.30429155955946507</v>
      </c>
      <c r="G104" s="15"/>
      <c r="H104" s="33">
        <f>+H100-H102</f>
        <v>152183.52176273393</v>
      </c>
      <c r="I104" s="15"/>
      <c r="J104" s="32">
        <f>IF(H$12=0,0,H104/H$12)</f>
        <v>0.13479974645933773</v>
      </c>
      <c r="K104" s="16"/>
      <c r="L104" s="33">
        <f>D104-H104</f>
        <v>271030.77823726594</v>
      </c>
      <c r="M104" s="16"/>
      <c r="N104" s="32">
        <f>IF(H104=0,0,L104/H104)</f>
        <v>1.7809469454900921</v>
      </c>
      <c r="O104" s="27"/>
      <c r="P104" s="33">
        <f>+P100-P102</f>
        <v>1342131.0000000016</v>
      </c>
      <c r="Q104" s="15"/>
      <c r="R104" s="32">
        <f>IF(P$12=0,0,P104/P$12)</f>
        <v>0.17169058084297767</v>
      </c>
      <c r="S104" s="15"/>
      <c r="T104" s="33">
        <f>+T100-T102</f>
        <v>-423396.96714677708</v>
      </c>
      <c r="U104" s="15"/>
      <c r="V104" s="32">
        <f>IF(T$12=0,0,T104/T$12)</f>
        <v>-6.9542495655086634E-2</v>
      </c>
      <c r="W104" s="16"/>
      <c r="X104" s="33">
        <f>P104-T104</f>
        <v>1765527.9671467787</v>
      </c>
      <c r="Y104" s="16"/>
      <c r="Z104" s="32">
        <f>IF(T104=0,0,X104/T104)</f>
        <v>-4.1699117002289041</v>
      </c>
    </row>
    <row r="105" spans="1:26" ht="15" customHeight="1" x14ac:dyDescent="0.3">
      <c r="A105" s="10"/>
      <c r="B105" s="10"/>
      <c r="C105" s="10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ht="15" customHeight="1" x14ac:dyDescent="0.3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s="63" customFormat="1" ht="15" customHeight="1" x14ac:dyDescent="0.3">
      <c r="A107" s="11"/>
      <c r="B107" s="28" t="s">
        <v>297</v>
      </c>
      <c r="C107" s="28"/>
      <c r="D107" s="34">
        <f>SUM(D104:D106)</f>
        <v>423214.29999999987</v>
      </c>
      <c r="E107" s="15"/>
      <c r="F107" s="30">
        <f>IF(D$12=0,0,D107/D$12)</f>
        <v>0.30429155955946507</v>
      </c>
      <c r="G107" s="15"/>
      <c r="H107" s="34">
        <f>SUM(H104:H106)</f>
        <v>152183.52176273393</v>
      </c>
      <c r="I107" s="15"/>
      <c r="J107" s="30">
        <f>IF(H$12=0,0,H107/H$12)</f>
        <v>0.13479974645933773</v>
      </c>
      <c r="K107" s="16"/>
      <c r="L107" s="34">
        <f>+D107-H107</f>
        <v>271030.77823726594</v>
      </c>
      <c r="M107" s="16"/>
      <c r="N107" s="30">
        <f>IF(H107=0,0,L107/H107)</f>
        <v>1.7809469454900921</v>
      </c>
      <c r="O107" s="27"/>
      <c r="P107" s="34">
        <f>SUM(P104:P106)</f>
        <v>1342131.0000000016</v>
      </c>
      <c r="Q107" s="15"/>
      <c r="R107" s="30">
        <f>IF(P$12=0,0,P107/P$12)</f>
        <v>0.17169058084297767</v>
      </c>
      <c r="S107" s="15"/>
      <c r="T107" s="34">
        <f>SUM(T104:T106)</f>
        <v>-423396.96714677708</v>
      </c>
      <c r="U107" s="15"/>
      <c r="V107" s="30">
        <f>IF(T$12=0,0,T107/T$12)</f>
        <v>-6.9542495655086634E-2</v>
      </c>
      <c r="W107" s="16"/>
      <c r="X107" s="34">
        <f>+P107-T107</f>
        <v>1765527.9671467787</v>
      </c>
      <c r="Y107" s="16"/>
      <c r="Z107" s="30">
        <f>IF(T107=0,0,X107/T107)</f>
        <v>-4.1699117002289041</v>
      </c>
    </row>
    <row r="108" spans="1:26" ht="15" customHeight="1" x14ac:dyDescent="0.3">
      <c r="A108" s="10"/>
      <c r="C108" s="10"/>
      <c r="D108" s="19"/>
      <c r="E108" s="19"/>
      <c r="G108" s="19"/>
      <c r="H108" s="19"/>
      <c r="I108" s="19"/>
      <c r="J108" s="41"/>
      <c r="K108" s="19"/>
      <c r="L108" s="19"/>
      <c r="M108" s="19"/>
      <c r="P108" s="19"/>
      <c r="Q108" s="19"/>
      <c r="R108" s="41"/>
      <c r="S108" s="19"/>
      <c r="T108" s="19"/>
      <c r="U108" s="19"/>
      <c r="V108" s="41"/>
      <c r="W108" s="19"/>
      <c r="X108" s="19"/>
    </row>
    <row r="109" spans="1:26" ht="15" customHeight="1" x14ac:dyDescent="0.3">
      <c r="A109" s="10"/>
      <c r="B109" s="57">
        <v>44634.883378391205</v>
      </c>
      <c r="D109" s="19"/>
      <c r="E109" s="19"/>
      <c r="G109" s="19"/>
      <c r="H109" s="19"/>
      <c r="I109" s="19"/>
      <c r="J109" s="41"/>
      <c r="K109" s="19"/>
      <c r="L109" s="19"/>
      <c r="M109" s="19"/>
      <c r="P109" s="19"/>
      <c r="Q109" s="19"/>
      <c r="R109" s="41"/>
      <c r="S109" s="19"/>
      <c r="T109" s="19"/>
      <c r="U109" s="19"/>
      <c r="V109" s="41"/>
      <c r="W109" s="19"/>
      <c r="X109" s="19"/>
    </row>
    <row r="110" spans="1:26" ht="15" customHeight="1" x14ac:dyDescent="0.3">
      <c r="A110" s="10"/>
      <c r="B110" s="56" t="s">
        <v>298</v>
      </c>
      <c r="D110" s="19"/>
      <c r="E110" s="19"/>
      <c r="G110" s="19"/>
      <c r="H110" s="19"/>
      <c r="I110" s="19"/>
      <c r="J110" s="41"/>
      <c r="K110" s="19"/>
      <c r="L110" s="19"/>
      <c r="M110" s="19"/>
      <c r="P110" s="19"/>
      <c r="Q110" s="19"/>
      <c r="R110" s="41"/>
      <c r="S110" s="19"/>
      <c r="T110" s="19"/>
      <c r="U110" s="19"/>
      <c r="V110" s="41"/>
      <c r="W110" s="19"/>
      <c r="X110" s="19"/>
    </row>
    <row r="111" spans="1:26" ht="15" customHeight="1" x14ac:dyDescent="0.3">
      <c r="A111" s="10"/>
      <c r="B111" s="54"/>
      <c r="D111" s="19"/>
      <c r="E111" s="19"/>
      <c r="G111" s="19"/>
      <c r="H111" s="19"/>
      <c r="I111" s="19"/>
      <c r="J111" s="41"/>
      <c r="K111" s="19"/>
      <c r="L111" s="19"/>
      <c r="M111" s="19"/>
      <c r="P111" s="19"/>
      <c r="Q111" s="19"/>
      <c r="R111" s="41"/>
      <c r="S111" s="19"/>
      <c r="T111" s="19"/>
      <c r="U111" s="19"/>
      <c r="V111" s="41"/>
      <c r="W111" s="19"/>
      <c r="X111" s="19"/>
    </row>
    <row r="112" spans="1:26" ht="15" customHeight="1" x14ac:dyDescent="0.3">
      <c r="D112" s="19"/>
      <c r="E112" s="19"/>
      <c r="G112" s="19"/>
      <c r="H112" s="19"/>
      <c r="I112" s="19"/>
      <c r="J112" s="41"/>
      <c r="K112" s="19"/>
      <c r="L112" s="19"/>
      <c r="M112" s="19"/>
      <c r="P112" s="19"/>
      <c r="Q112" s="19"/>
      <c r="R112" s="41"/>
      <c r="S112" s="19"/>
      <c r="T112" s="19"/>
      <c r="U112" s="19"/>
      <c r="V112" s="41"/>
      <c r="W112" s="19"/>
      <c r="X112" s="19"/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CA567-B17F-63BF-6282-98253A98F8BC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","430"," - ","Res Hall Management")</f>
        <v>Department 430 - Res Hall Management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 cm="1">
        <f t="array" ref="D18">SUM(OSRRefD22x_0)</f>
        <v>22910.55</v>
      </c>
      <c r="E18" s="23"/>
      <c r="F18" s="29">
        <f t="shared" ref="F18:F55" si="0">IF(D$12=0,0,D18/D$12)</f>
        <v>0</v>
      </c>
      <c r="G18" s="23"/>
      <c r="H18" s="23" cm="1">
        <f t="array" ref="H18">SUM(OSRRefH22x_0)</f>
        <v>17497.431652200001</v>
      </c>
      <c r="I18" s="23"/>
      <c r="J18" s="29">
        <f t="shared" ref="J18:J55" si="1">IF(H$12=0,0,H18/H$12)</f>
        <v>0</v>
      </c>
      <c r="K18" s="5"/>
      <c r="L18" s="23">
        <f t="shared" ref="L18:L55" si="2">+D18-H18</f>
        <v>5413.1183477999984</v>
      </c>
      <c r="M18" s="5"/>
      <c r="N18" s="29">
        <f t="shared" ref="N18:N55" si="3">IF(H18=0,0,L18/H18)</f>
        <v>0.30936645191120904</v>
      </c>
      <c r="O18" s="11"/>
      <c r="P18" s="23" cm="1">
        <f t="array" ref="P18">SUM(OSRRefP22x_0)</f>
        <v>160765.99</v>
      </c>
      <c r="Q18" s="23"/>
      <c r="R18" s="29">
        <f t="shared" ref="R18:R55" si="4">IF(P$12=0,0,P18/P$12)</f>
        <v>0</v>
      </c>
      <c r="S18" s="23"/>
      <c r="T18" s="23" cm="1">
        <f t="array" ref="T18">SUM(OSRRefT22x_0)</f>
        <v>146200.43552745</v>
      </c>
      <c r="U18" s="23"/>
      <c r="V18" s="29">
        <f t="shared" ref="V18:V55" si="5">IF(T$12=0,0,T18/T$12)</f>
        <v>0</v>
      </c>
      <c r="W18" s="5"/>
      <c r="X18" s="23">
        <f t="shared" ref="X18:X55" si="6">+P18-T18</f>
        <v>14565.554472549993</v>
      </c>
      <c r="Y18" s="5"/>
      <c r="Z18" s="29">
        <f t="shared" ref="Z18:Z55" si="7">IF(T18=0,0,X18/T18)</f>
        <v>9.9627298783355703E-2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5639.1399999999994</v>
      </c>
      <c r="E19" s="2"/>
      <c r="F19" s="6">
        <f t="shared" si="0"/>
        <v>0</v>
      </c>
      <c r="G19" s="2"/>
      <c r="H19" s="2">
        <f>SUM(OSRRefH22_0x_0)</f>
        <v>4307.0286522000006</v>
      </c>
      <c r="I19" s="2"/>
      <c r="J19" s="6">
        <f t="shared" si="1"/>
        <v>0</v>
      </c>
      <c r="K19" s="2"/>
      <c r="L19" s="2">
        <f t="shared" si="2"/>
        <v>1332.1113477999988</v>
      </c>
      <c r="M19" s="2"/>
      <c r="N19" s="6">
        <f t="shared" si="3"/>
        <v>0.30928778407814062</v>
      </c>
      <c r="O19" s="14"/>
      <c r="P19" s="2">
        <f>SUM(OSRRefP22_0x_0)</f>
        <v>48645.15</v>
      </c>
      <c r="Q19" s="2"/>
      <c r="R19" s="6">
        <f t="shared" si="4"/>
        <v>0</v>
      </c>
      <c r="S19" s="2"/>
      <c r="T19" s="2">
        <f>SUM(OSRRefT22_0x_0)</f>
        <v>35762.628777450002</v>
      </c>
      <c r="U19" s="2"/>
      <c r="V19" s="6">
        <f t="shared" si="5"/>
        <v>0</v>
      </c>
      <c r="W19" s="2"/>
      <c r="X19" s="2">
        <f t="shared" si="6"/>
        <v>12882.52122255</v>
      </c>
      <c r="Y19" s="2"/>
      <c r="Z19" s="6">
        <f t="shared" si="7"/>
        <v>0.36022299430832189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8">
        <v>718.56</v>
      </c>
      <c r="E20" s="3"/>
      <c r="F20" s="7">
        <f t="shared" si="0"/>
        <v>0</v>
      </c>
      <c r="G20" s="3"/>
      <c r="H20" s="8">
        <v>706.12241219999999</v>
      </c>
      <c r="I20" s="3"/>
      <c r="J20" s="7">
        <f t="shared" si="1"/>
        <v>0</v>
      </c>
      <c r="K20" s="3"/>
      <c r="L20" s="8">
        <f t="shared" si="2"/>
        <v>12.43758779999996</v>
      </c>
      <c r="M20" s="3"/>
      <c r="N20" s="7">
        <f t="shared" si="3"/>
        <v>1.7613925836526451E-2</v>
      </c>
      <c r="O20" s="12"/>
      <c r="P20" s="8">
        <v>5993.44</v>
      </c>
      <c r="Q20" s="3"/>
      <c r="R20" s="7">
        <f t="shared" si="4"/>
        <v>0</v>
      </c>
      <c r="S20" s="3"/>
      <c r="T20" s="8">
        <v>6044.8877374499998</v>
      </c>
      <c r="U20" s="3"/>
      <c r="V20" s="7">
        <f t="shared" si="5"/>
        <v>0</v>
      </c>
      <c r="W20" s="3"/>
      <c r="X20" s="8">
        <f t="shared" si="6"/>
        <v>-51.447737450000204</v>
      </c>
      <c r="Y20" s="3"/>
      <c r="Z20" s="7">
        <f t="shared" si="7"/>
        <v>-8.5109500266258263E-3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8">
        <v>338.15</v>
      </c>
      <c r="E21" s="3"/>
      <c r="F21" s="7">
        <f t="shared" si="0"/>
        <v>0</v>
      </c>
      <c r="G21" s="3"/>
      <c r="H21" s="8">
        <v>349.69344599999999</v>
      </c>
      <c r="I21" s="3"/>
      <c r="J21" s="7">
        <f t="shared" si="1"/>
        <v>0</v>
      </c>
      <c r="K21" s="3"/>
      <c r="L21" s="8">
        <f t="shared" si="2"/>
        <v>-11.543446000000017</v>
      </c>
      <c r="M21" s="3"/>
      <c r="N21" s="7">
        <f t="shared" si="3"/>
        <v>-3.3010186870931567E-2</v>
      </c>
      <c r="O21" s="12"/>
      <c r="P21" s="8">
        <v>2812.14</v>
      </c>
      <c r="Q21" s="3"/>
      <c r="R21" s="7">
        <f t="shared" si="4"/>
        <v>0</v>
      </c>
      <c r="S21" s="3"/>
      <c r="T21" s="8">
        <v>2993.6135534999999</v>
      </c>
      <c r="U21" s="3"/>
      <c r="V21" s="7">
        <f t="shared" si="5"/>
        <v>0</v>
      </c>
      <c r="W21" s="3"/>
      <c r="X21" s="8">
        <f t="shared" si="6"/>
        <v>-181.47355349999998</v>
      </c>
      <c r="Y21" s="3"/>
      <c r="Z21" s="7">
        <f t="shared" si="7"/>
        <v>-6.0620233793312828E-2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8">
        <v>2467.5700000000002</v>
      </c>
      <c r="E22" s="3"/>
      <c r="F22" s="7">
        <f t="shared" si="0"/>
        <v>0</v>
      </c>
      <c r="G22" s="3"/>
      <c r="H22" s="8">
        <v>1977</v>
      </c>
      <c r="I22" s="3"/>
      <c r="J22" s="7">
        <f t="shared" si="1"/>
        <v>0</v>
      </c>
      <c r="K22" s="3"/>
      <c r="L22" s="8">
        <f t="shared" si="2"/>
        <v>490.57000000000016</v>
      </c>
      <c r="M22" s="3"/>
      <c r="N22" s="7">
        <f t="shared" si="3"/>
        <v>0.24813859382903397</v>
      </c>
      <c r="O22" s="12"/>
      <c r="P22" s="8">
        <v>21074.27</v>
      </c>
      <c r="Q22" s="3"/>
      <c r="R22" s="7">
        <f t="shared" si="4"/>
        <v>0</v>
      </c>
      <c r="S22" s="3"/>
      <c r="T22" s="8">
        <v>15816</v>
      </c>
      <c r="U22" s="3"/>
      <c r="V22" s="7">
        <f t="shared" si="5"/>
        <v>0</v>
      </c>
      <c r="W22" s="3"/>
      <c r="X22" s="8">
        <f t="shared" si="6"/>
        <v>5258.27</v>
      </c>
      <c r="Y22" s="3"/>
      <c r="Z22" s="7">
        <f t="shared" si="7"/>
        <v>0.332465225088518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8">
        <v>24.42</v>
      </c>
      <c r="E23" s="3"/>
      <c r="F23" s="7">
        <f t="shared" si="0"/>
        <v>0</v>
      </c>
      <c r="G23" s="3"/>
      <c r="H23" s="8">
        <v>19.376154</v>
      </c>
      <c r="I23" s="3"/>
      <c r="J23" s="7">
        <f t="shared" si="1"/>
        <v>0</v>
      </c>
      <c r="K23" s="3"/>
      <c r="L23" s="8">
        <f t="shared" si="2"/>
        <v>5.0438460000000021</v>
      </c>
      <c r="M23" s="3"/>
      <c r="N23" s="7">
        <f t="shared" si="3"/>
        <v>0.26031203096342043</v>
      </c>
      <c r="O23" s="12"/>
      <c r="P23" s="8">
        <v>203.09</v>
      </c>
      <c r="Q23" s="3"/>
      <c r="R23" s="7">
        <f t="shared" si="4"/>
        <v>0</v>
      </c>
      <c r="S23" s="3"/>
      <c r="T23" s="8">
        <v>165.87304649999999</v>
      </c>
      <c r="U23" s="3"/>
      <c r="V23" s="7">
        <f t="shared" si="5"/>
        <v>0</v>
      </c>
      <c r="W23" s="3"/>
      <c r="X23" s="8">
        <f t="shared" si="6"/>
        <v>37.216953500000017</v>
      </c>
      <c r="Y23" s="3"/>
      <c r="Z23" s="7">
        <f t="shared" si="7"/>
        <v>0.22437010885912692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8">
        <v>707.23</v>
      </c>
      <c r="E24" s="3"/>
      <c r="F24" s="7">
        <f t="shared" si="0"/>
        <v>0</v>
      </c>
      <c r="G24" s="3"/>
      <c r="H24" s="8">
        <v>793.49964</v>
      </c>
      <c r="I24" s="3"/>
      <c r="J24" s="7">
        <f t="shared" si="1"/>
        <v>0</v>
      </c>
      <c r="K24" s="3"/>
      <c r="L24" s="8">
        <f t="shared" si="2"/>
        <v>-86.269639999999981</v>
      </c>
      <c r="M24" s="3"/>
      <c r="N24" s="7">
        <f t="shared" si="3"/>
        <v>-0.10872045260159158</v>
      </c>
      <c r="O24" s="12"/>
      <c r="P24" s="8">
        <v>5889.05</v>
      </c>
      <c r="Q24" s="3"/>
      <c r="R24" s="7">
        <f t="shared" si="4"/>
        <v>0</v>
      </c>
      <c r="S24" s="3"/>
      <c r="T24" s="8">
        <v>6792.8961900000004</v>
      </c>
      <c r="U24" s="3"/>
      <c r="V24" s="7">
        <f t="shared" si="5"/>
        <v>0</v>
      </c>
      <c r="W24" s="3"/>
      <c r="X24" s="8">
        <f t="shared" si="6"/>
        <v>-903.84619000000021</v>
      </c>
      <c r="Y24" s="3"/>
      <c r="Z24" s="7">
        <f t="shared" si="7"/>
        <v>-0.13305755965041477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8">
        <v>860.74</v>
      </c>
      <c r="E26" s="3"/>
      <c r="F26" s="7">
        <f t="shared" si="0"/>
        <v>0</v>
      </c>
      <c r="G26" s="3"/>
      <c r="H26" s="8">
        <v>276.80220000000003</v>
      </c>
      <c r="I26" s="3"/>
      <c r="J26" s="7">
        <f t="shared" si="1"/>
        <v>0</v>
      </c>
      <c r="K26" s="3"/>
      <c r="L26" s="8">
        <f t="shared" si="2"/>
        <v>583.93779999999992</v>
      </c>
      <c r="M26" s="3"/>
      <c r="N26" s="7">
        <f t="shared" si="3"/>
        <v>2.1095851116790252</v>
      </c>
      <c r="O26" s="12"/>
      <c r="P26" s="8">
        <v>7661.48</v>
      </c>
      <c r="Q26" s="3"/>
      <c r="R26" s="7">
        <f t="shared" si="4"/>
        <v>0</v>
      </c>
      <c r="S26" s="3"/>
      <c r="T26" s="8">
        <v>2369.6149500000001</v>
      </c>
      <c r="U26" s="3"/>
      <c r="V26" s="7">
        <f t="shared" si="5"/>
        <v>0</v>
      </c>
      <c r="W26" s="3"/>
      <c r="X26" s="8">
        <f t="shared" si="6"/>
        <v>5291.8650499999994</v>
      </c>
      <c r="Y26" s="3"/>
      <c r="Z26" s="7">
        <f t="shared" si="7"/>
        <v>2.2332172786131346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8">
        <v>429.78</v>
      </c>
      <c r="E27" s="3"/>
      <c r="F27" s="7">
        <f t="shared" si="0"/>
        <v>0</v>
      </c>
      <c r="G27" s="3"/>
      <c r="H27" s="8">
        <v>184.53479999999999</v>
      </c>
      <c r="I27" s="3"/>
      <c r="J27" s="7">
        <f t="shared" si="1"/>
        <v>0</v>
      </c>
      <c r="K27" s="3"/>
      <c r="L27" s="8">
        <f t="shared" si="2"/>
        <v>245.24519999999998</v>
      </c>
      <c r="M27" s="3"/>
      <c r="N27" s="7">
        <f t="shared" si="3"/>
        <v>1.3289916048355106</v>
      </c>
      <c r="O27" s="12"/>
      <c r="P27" s="8">
        <v>4323.6400000000003</v>
      </c>
      <c r="Q27" s="3"/>
      <c r="R27" s="7">
        <f t="shared" si="4"/>
        <v>0</v>
      </c>
      <c r="S27" s="3"/>
      <c r="T27" s="8">
        <v>1579.7433000000001</v>
      </c>
      <c r="U27" s="3"/>
      <c r="V27" s="7">
        <f t="shared" si="5"/>
        <v>0</v>
      </c>
      <c r="W27" s="3"/>
      <c r="X27" s="8">
        <f t="shared" si="6"/>
        <v>2743.8967000000002</v>
      </c>
      <c r="Y27" s="3"/>
      <c r="Z27" s="7">
        <f t="shared" si="7"/>
        <v>1.7369256764690821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8">
        <v>92.69</v>
      </c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92.69</v>
      </c>
      <c r="M28" s="3"/>
      <c r="N28" s="7">
        <f t="shared" si="3"/>
        <v>0</v>
      </c>
      <c r="O28" s="12"/>
      <c r="P28" s="8">
        <v>688.04</v>
      </c>
      <c r="Q28" s="3"/>
      <c r="R28" s="7">
        <f t="shared" si="4"/>
        <v>0</v>
      </c>
      <c r="S28" s="3"/>
      <c r="T28" s="8"/>
      <c r="U28" s="3"/>
      <c r="V28" s="7">
        <f t="shared" si="5"/>
        <v>0</v>
      </c>
      <c r="W28" s="3"/>
      <c r="X28" s="8">
        <f t="shared" si="6"/>
        <v>688.04</v>
      </c>
      <c r="Y28" s="3"/>
      <c r="Z28" s="7">
        <f t="shared" si="7"/>
        <v>0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9317.92</v>
      </c>
      <c r="E29" s="2"/>
      <c r="F29" s="6">
        <f t="shared" si="0"/>
        <v>0</v>
      </c>
      <c r="G29" s="2"/>
      <c r="H29" s="2">
        <f>SUM(OSRRefH22_1x_0)</f>
        <v>8765.4030000000002</v>
      </c>
      <c r="I29" s="2"/>
      <c r="J29" s="6">
        <f t="shared" si="1"/>
        <v>0</v>
      </c>
      <c r="K29" s="2"/>
      <c r="L29" s="2">
        <f t="shared" si="2"/>
        <v>552.51699999999983</v>
      </c>
      <c r="M29" s="2"/>
      <c r="N29" s="6">
        <f t="shared" si="3"/>
        <v>6.3033838832053685E-2</v>
      </c>
      <c r="O29" s="14"/>
      <c r="P29" s="2">
        <f>SUM(OSRRefP22_1x_0)</f>
        <v>74847.45</v>
      </c>
      <c r="Q29" s="2"/>
      <c r="R29" s="6">
        <f t="shared" si="4"/>
        <v>0</v>
      </c>
      <c r="S29" s="2"/>
      <c r="T29" s="2">
        <f>SUM(OSRRefT22_1x_0)</f>
        <v>75037.806750000003</v>
      </c>
      <c r="U29" s="2"/>
      <c r="V29" s="6">
        <f t="shared" si="5"/>
        <v>0</v>
      </c>
      <c r="W29" s="2"/>
      <c r="X29" s="2">
        <f t="shared" si="6"/>
        <v>-190.35675000000629</v>
      </c>
      <c r="Y29" s="2"/>
      <c r="Z29" s="6">
        <f t="shared" si="7"/>
        <v>-2.5368112188327821E-3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8">
        <v>9317.92</v>
      </c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9317.92</v>
      </c>
      <c r="M30" s="3"/>
      <c r="N30" s="7">
        <f t="shared" si="3"/>
        <v>0</v>
      </c>
      <c r="O30" s="12"/>
      <c r="P30" s="8">
        <v>74847.45</v>
      </c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74847.45</v>
      </c>
      <c r="Y30" s="3"/>
      <c r="Z30" s="7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8"/>
      <c r="E31" s="3"/>
      <c r="F31" s="7">
        <f t="shared" si="0"/>
        <v>0</v>
      </c>
      <c r="G31" s="3"/>
      <c r="H31" s="8">
        <v>8765.4030000000002</v>
      </c>
      <c r="I31" s="3"/>
      <c r="J31" s="7">
        <f t="shared" si="1"/>
        <v>0</v>
      </c>
      <c r="K31" s="3"/>
      <c r="L31" s="8">
        <f t="shared" si="2"/>
        <v>-8765.4030000000002</v>
      </c>
      <c r="M31" s="3"/>
      <c r="N31" s="7">
        <f t="shared" si="3"/>
        <v>-1</v>
      </c>
      <c r="O31" s="12"/>
      <c r="P31" s="8"/>
      <c r="Q31" s="3"/>
      <c r="R31" s="7">
        <f t="shared" si="4"/>
        <v>0</v>
      </c>
      <c r="S31" s="3"/>
      <c r="T31" s="8">
        <v>75037.806750000003</v>
      </c>
      <c r="U31" s="3"/>
      <c r="V31" s="7">
        <f t="shared" si="5"/>
        <v>0</v>
      </c>
      <c r="W31" s="3"/>
      <c r="X31" s="8">
        <f t="shared" si="6"/>
        <v>-75037.806750000003</v>
      </c>
      <c r="Y31" s="3"/>
      <c r="Z31" s="7">
        <f t="shared" si="7"/>
        <v>-1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45</v>
      </c>
      <c r="Q40" s="2"/>
      <c r="R40" s="6">
        <f t="shared" si="4"/>
        <v>0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45</v>
      </c>
      <c r="Y40" s="2"/>
      <c r="Z40" s="6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45</v>
      </c>
      <c r="Q41" s="3"/>
      <c r="R41" s="7">
        <f t="shared" si="4"/>
        <v>0</v>
      </c>
      <c r="S41" s="3"/>
      <c r="T41" s="8"/>
      <c r="U41" s="3"/>
      <c r="V41" s="7">
        <f t="shared" si="5"/>
        <v>0</v>
      </c>
      <c r="W41" s="3"/>
      <c r="X41" s="8">
        <f t="shared" si="6"/>
        <v>45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SUM(OSRRefD22_3x_0)</f>
        <v>360</v>
      </c>
      <c r="E42" s="2"/>
      <c r="F42" s="6">
        <f t="shared" si="0"/>
        <v>0</v>
      </c>
      <c r="G42" s="2"/>
      <c r="H42" s="2">
        <f>SUM(OSRRefH22_3x_0)</f>
        <v>200</v>
      </c>
      <c r="I42" s="2"/>
      <c r="J42" s="6">
        <f t="shared" si="1"/>
        <v>0</v>
      </c>
      <c r="K42" s="2"/>
      <c r="L42" s="2">
        <f t="shared" si="2"/>
        <v>160</v>
      </c>
      <c r="M42" s="2"/>
      <c r="N42" s="6">
        <f t="shared" si="3"/>
        <v>0.8</v>
      </c>
      <c r="O42" s="14"/>
      <c r="P42" s="2">
        <f>SUM(OSRRefP22_3x_0)</f>
        <v>530</v>
      </c>
      <c r="Q42" s="2"/>
      <c r="R42" s="6">
        <f t="shared" si="4"/>
        <v>0</v>
      </c>
      <c r="S42" s="2"/>
      <c r="T42" s="2">
        <f>SUM(OSRRefT22_3x_0)</f>
        <v>1600</v>
      </c>
      <c r="U42" s="2"/>
      <c r="V42" s="6">
        <f t="shared" si="5"/>
        <v>0</v>
      </c>
      <c r="W42" s="2"/>
      <c r="X42" s="2">
        <f t="shared" si="6"/>
        <v>-1070</v>
      </c>
      <c r="Y42" s="2"/>
      <c r="Z42" s="6">
        <f t="shared" si="7"/>
        <v>-0.66874999999999996</v>
      </c>
    </row>
    <row r="43" spans="1:26" s="70" customFormat="1" ht="15" hidden="1" customHeight="1" outlineLevel="2" x14ac:dyDescent="0.3">
      <c r="A43" s="26"/>
      <c r="B43" s="12" t="str">
        <f>CONCATENATE("          ","6279"," - ","GENERAL EXPENSE")</f>
        <v xml:space="preserve">          6279 - GENERAL EXPENSE</v>
      </c>
      <c r="C43" s="12"/>
      <c r="D43" s="8">
        <v>360</v>
      </c>
      <c r="E43" s="3"/>
      <c r="F43" s="7">
        <f t="shared" si="0"/>
        <v>0</v>
      </c>
      <c r="G43" s="3"/>
      <c r="H43" s="8">
        <v>200</v>
      </c>
      <c r="I43" s="3"/>
      <c r="J43" s="7">
        <f t="shared" si="1"/>
        <v>0</v>
      </c>
      <c r="K43" s="3"/>
      <c r="L43" s="8">
        <f t="shared" si="2"/>
        <v>160</v>
      </c>
      <c r="M43" s="3"/>
      <c r="N43" s="7">
        <f t="shared" si="3"/>
        <v>0.8</v>
      </c>
      <c r="O43" s="12"/>
      <c r="P43" s="8">
        <v>530</v>
      </c>
      <c r="Q43" s="3"/>
      <c r="R43" s="7">
        <f t="shared" si="4"/>
        <v>0</v>
      </c>
      <c r="S43" s="3"/>
      <c r="T43" s="8">
        <v>1600</v>
      </c>
      <c r="U43" s="3"/>
      <c r="V43" s="7">
        <f t="shared" si="5"/>
        <v>0</v>
      </c>
      <c r="W43" s="3"/>
      <c r="X43" s="8">
        <f t="shared" si="6"/>
        <v>-1070</v>
      </c>
      <c r="Y43" s="3"/>
      <c r="Z43" s="7">
        <f t="shared" si="7"/>
        <v>-0.66874999999999996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3500</v>
      </c>
      <c r="E44" s="2"/>
      <c r="F44" s="6">
        <f t="shared" si="0"/>
        <v>0</v>
      </c>
      <c r="G44" s="2"/>
      <c r="H44" s="2">
        <f>SUM(OSRRefH22_4x_0)</f>
        <v>3500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SUM(OSRRefP22_4x_0)</f>
        <v>28000</v>
      </c>
      <c r="Q44" s="2"/>
      <c r="R44" s="6">
        <f t="shared" si="4"/>
        <v>0</v>
      </c>
      <c r="S44" s="2"/>
      <c r="T44" s="2">
        <f>SUM(OSRRefT22_4x_0)</f>
        <v>28000</v>
      </c>
      <c r="U44" s="2"/>
      <c r="V44" s="6">
        <f t="shared" si="5"/>
        <v>0</v>
      </c>
      <c r="W44" s="2"/>
      <c r="X44" s="2">
        <f t="shared" si="6"/>
        <v>0</v>
      </c>
      <c r="Y44" s="2"/>
      <c r="Z44" s="6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","6371"," - ","COMPUTER SOFTWARE MAINTENANCE")</f>
        <v xml:space="preserve">          6371 - COMPUTER SOFTWARE MAINTENANCE</v>
      </c>
      <c r="C45" s="12"/>
      <c r="D45" s="8">
        <v>3500</v>
      </c>
      <c r="E45" s="3"/>
      <c r="F45" s="7">
        <f t="shared" si="0"/>
        <v>0</v>
      </c>
      <c r="G45" s="3"/>
      <c r="H45" s="8">
        <v>3500</v>
      </c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>
        <v>28000</v>
      </c>
      <c r="Q45" s="3"/>
      <c r="R45" s="7">
        <f t="shared" si="4"/>
        <v>0</v>
      </c>
      <c r="S45" s="3"/>
      <c r="T45" s="8">
        <v>28000</v>
      </c>
      <c r="U45" s="3"/>
      <c r="V45" s="7">
        <f t="shared" si="5"/>
        <v>0</v>
      </c>
      <c r="W45" s="3"/>
      <c r="X45" s="8">
        <f t="shared" si="6"/>
        <v>0</v>
      </c>
      <c r="Y45" s="3"/>
      <c r="Z45" s="7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","Supplies                                          ")</f>
        <v xml:space="preserve">     Supplies                                          </v>
      </c>
      <c r="C46" s="14"/>
      <c r="D46" s="2">
        <f>SUM(OSRRefD22_5x_0)</f>
        <v>18.489999999999998</v>
      </c>
      <c r="E46" s="2"/>
      <c r="F46" s="6">
        <f t="shared" si="0"/>
        <v>0</v>
      </c>
      <c r="G46" s="2"/>
      <c r="H46" s="2">
        <f>SUM(OSRRefH22_5x_0)</f>
        <v>342</v>
      </c>
      <c r="I46" s="2"/>
      <c r="J46" s="6">
        <f t="shared" si="1"/>
        <v>0</v>
      </c>
      <c r="K46" s="2"/>
      <c r="L46" s="2">
        <f t="shared" si="2"/>
        <v>-323.51</v>
      </c>
      <c r="M46" s="2"/>
      <c r="N46" s="6">
        <f t="shared" si="3"/>
        <v>-0.94593567251461985</v>
      </c>
      <c r="O46" s="14"/>
      <c r="P46" s="2">
        <f>SUM(OSRRefP22_5x_0)</f>
        <v>2371.52</v>
      </c>
      <c r="Q46" s="2"/>
      <c r="R46" s="6">
        <f t="shared" si="4"/>
        <v>0</v>
      </c>
      <c r="S46" s="2"/>
      <c r="T46" s="2">
        <f>SUM(OSRRefT22_5x_0)</f>
        <v>2736</v>
      </c>
      <c r="U46" s="2"/>
      <c r="V46" s="6">
        <f t="shared" si="5"/>
        <v>0</v>
      </c>
      <c r="W46" s="2"/>
      <c r="X46" s="2">
        <f t="shared" si="6"/>
        <v>-364.48</v>
      </c>
      <c r="Y46" s="2"/>
      <c r="Z46" s="6">
        <f t="shared" si="7"/>
        <v>-0.13321637426900584</v>
      </c>
    </row>
    <row r="47" spans="1:26" s="70" customFormat="1" ht="15" hidden="1" customHeight="1" outlineLevel="2" x14ac:dyDescent="0.3">
      <c r="A47" s="26"/>
      <c r="B47" s="12" t="str">
        <f>CONCATENATE("          ","6234"," - ","EXPENDABLE SUPPLIES &amp; EQUIPMEN")</f>
        <v xml:space="preserve">          6234 - EXPENDABLE SUPPLIES &amp; EQUIPMEN</v>
      </c>
      <c r="C47" s="12"/>
      <c r="D47" s="8"/>
      <c r="E47" s="3"/>
      <c r="F47" s="7">
        <f t="shared" si="0"/>
        <v>0</v>
      </c>
      <c r="G47" s="3"/>
      <c r="H47" s="8">
        <v>342</v>
      </c>
      <c r="I47" s="3"/>
      <c r="J47" s="7">
        <f t="shared" si="1"/>
        <v>0</v>
      </c>
      <c r="K47" s="3"/>
      <c r="L47" s="8">
        <f t="shared" si="2"/>
        <v>-342</v>
      </c>
      <c r="M47" s="3"/>
      <c r="N47" s="7">
        <f t="shared" si="3"/>
        <v>-1</v>
      </c>
      <c r="O47" s="12"/>
      <c r="P47" s="8"/>
      <c r="Q47" s="3"/>
      <c r="R47" s="7">
        <f t="shared" si="4"/>
        <v>0</v>
      </c>
      <c r="S47" s="3"/>
      <c r="T47" s="8">
        <v>2736</v>
      </c>
      <c r="U47" s="3"/>
      <c r="V47" s="7">
        <f t="shared" si="5"/>
        <v>0</v>
      </c>
      <c r="W47" s="3"/>
      <c r="X47" s="8">
        <f t="shared" si="6"/>
        <v>-2736</v>
      </c>
      <c r="Y47" s="3"/>
      <c r="Z47" s="7">
        <f t="shared" si="7"/>
        <v>-1</v>
      </c>
    </row>
    <row r="48" spans="1:26" s="70" customFormat="1" ht="15" hidden="1" customHeight="1" outlineLevel="2" x14ac:dyDescent="0.3">
      <c r="A48" s="26"/>
      <c r="B48" s="12" t="str">
        <f>CONCATENATE("          ","6241"," - ","OFFICE EXPENSE")</f>
        <v xml:space="preserve">          6241 - OFFICE EXPENSE</v>
      </c>
      <c r="C48" s="12"/>
      <c r="D48" s="8">
        <v>18.489999999999998</v>
      </c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18.489999999999998</v>
      </c>
      <c r="M48" s="3"/>
      <c r="N48" s="7">
        <f t="shared" si="3"/>
        <v>0</v>
      </c>
      <c r="O48" s="12"/>
      <c r="P48" s="8">
        <v>2371.52</v>
      </c>
      <c r="Q48" s="3"/>
      <c r="R48" s="7">
        <f t="shared" si="4"/>
        <v>0</v>
      </c>
      <c r="S48" s="3"/>
      <c r="T48" s="8"/>
      <c r="U48" s="3"/>
      <c r="V48" s="7">
        <f t="shared" si="5"/>
        <v>0</v>
      </c>
      <c r="W48" s="3"/>
      <c r="X48" s="8">
        <f t="shared" si="6"/>
        <v>2371.52</v>
      </c>
      <c r="Y48" s="3"/>
      <c r="Z48" s="7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","Telephone/Data Lines                              ")</f>
        <v xml:space="preserve">     Telephone/Data Lines                              </v>
      </c>
      <c r="C49" s="14"/>
      <c r="D49" s="2">
        <f>SUM(OSRRefD22_6x_0)</f>
        <v>75</v>
      </c>
      <c r="E49" s="2"/>
      <c r="F49" s="6">
        <f t="shared" si="0"/>
        <v>0</v>
      </c>
      <c r="G49" s="2"/>
      <c r="H49" s="2">
        <f>SUM(OSRRefH22_6x_0)</f>
        <v>83</v>
      </c>
      <c r="I49" s="2"/>
      <c r="J49" s="6">
        <f t="shared" si="1"/>
        <v>0</v>
      </c>
      <c r="K49" s="2"/>
      <c r="L49" s="2">
        <f t="shared" si="2"/>
        <v>-8</v>
      </c>
      <c r="M49" s="2"/>
      <c r="N49" s="6">
        <f t="shared" si="3"/>
        <v>-9.6385542168674704E-2</v>
      </c>
      <c r="O49" s="14"/>
      <c r="P49" s="2">
        <f>SUM(OSRRefP22_6x_0)</f>
        <v>583</v>
      </c>
      <c r="Q49" s="2"/>
      <c r="R49" s="6">
        <f t="shared" si="4"/>
        <v>0</v>
      </c>
      <c r="S49" s="2"/>
      <c r="T49" s="2">
        <f>SUM(OSRRefT22_6x_0)</f>
        <v>664</v>
      </c>
      <c r="U49" s="2"/>
      <c r="V49" s="6">
        <f t="shared" si="5"/>
        <v>0</v>
      </c>
      <c r="W49" s="2"/>
      <c r="X49" s="2">
        <f t="shared" si="6"/>
        <v>-81</v>
      </c>
      <c r="Y49" s="2"/>
      <c r="Z49" s="6">
        <f t="shared" si="7"/>
        <v>-0.12198795180722892</v>
      </c>
    </row>
    <row r="50" spans="1:26" s="70" customFormat="1" ht="15" hidden="1" customHeight="1" outlineLevel="2" x14ac:dyDescent="0.3">
      <c r="A50" s="26"/>
      <c r="B50" s="12" t="str">
        <f>CONCATENATE("          ","6303"," - ","DATA PHONE LINES")</f>
        <v xml:space="preserve">          6303 - DATA PHONE LINES</v>
      </c>
      <c r="C50" s="12"/>
      <c r="D50" s="8"/>
      <c r="E50" s="3"/>
      <c r="F50" s="7">
        <f t="shared" si="0"/>
        <v>0</v>
      </c>
      <c r="G50" s="3"/>
      <c r="H50" s="8">
        <v>58</v>
      </c>
      <c r="I50" s="3"/>
      <c r="J50" s="7">
        <f t="shared" si="1"/>
        <v>0</v>
      </c>
      <c r="K50" s="3"/>
      <c r="L50" s="8">
        <f t="shared" si="2"/>
        <v>-58</v>
      </c>
      <c r="M50" s="3"/>
      <c r="N50" s="7">
        <f t="shared" si="3"/>
        <v>-1</v>
      </c>
      <c r="O50" s="12"/>
      <c r="P50" s="8"/>
      <c r="Q50" s="3"/>
      <c r="R50" s="7">
        <f t="shared" si="4"/>
        <v>0</v>
      </c>
      <c r="S50" s="3"/>
      <c r="T50" s="8">
        <v>464</v>
      </c>
      <c r="U50" s="3"/>
      <c r="V50" s="7">
        <f t="shared" si="5"/>
        <v>0</v>
      </c>
      <c r="W50" s="3"/>
      <c r="X50" s="8">
        <f t="shared" si="6"/>
        <v>-464</v>
      </c>
      <c r="Y50" s="3"/>
      <c r="Z50" s="7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","6309"," - ","TELEPHONE")</f>
        <v xml:space="preserve">          6309 - TELEPHONE</v>
      </c>
      <c r="C51" s="12"/>
      <c r="D51" s="8">
        <v>75</v>
      </c>
      <c r="E51" s="3"/>
      <c r="F51" s="7">
        <f t="shared" si="0"/>
        <v>0</v>
      </c>
      <c r="G51" s="3"/>
      <c r="H51" s="8">
        <v>25</v>
      </c>
      <c r="I51" s="3"/>
      <c r="J51" s="7">
        <f t="shared" si="1"/>
        <v>0</v>
      </c>
      <c r="K51" s="3"/>
      <c r="L51" s="8">
        <f t="shared" si="2"/>
        <v>50</v>
      </c>
      <c r="M51" s="3"/>
      <c r="N51" s="7">
        <f t="shared" si="3"/>
        <v>2</v>
      </c>
      <c r="O51" s="12"/>
      <c r="P51" s="8">
        <v>583</v>
      </c>
      <c r="Q51" s="3"/>
      <c r="R51" s="7">
        <f t="shared" si="4"/>
        <v>0</v>
      </c>
      <c r="S51" s="3"/>
      <c r="T51" s="8">
        <v>200</v>
      </c>
      <c r="U51" s="3"/>
      <c r="V51" s="7">
        <f t="shared" si="5"/>
        <v>0</v>
      </c>
      <c r="W51" s="3"/>
      <c r="X51" s="8">
        <f t="shared" si="6"/>
        <v>383</v>
      </c>
      <c r="Y51" s="3"/>
      <c r="Z51" s="7">
        <f t="shared" si="7"/>
        <v>1.915</v>
      </c>
    </row>
    <row r="52" spans="1:26" s="69" customFormat="1" ht="15" customHeight="1" outlineLevel="1" collapsed="1" x14ac:dyDescent="0.3">
      <c r="A52" s="25"/>
      <c r="B52" s="14" t="str">
        <f>CONCATENATE("     ","Training                                          ")</f>
        <v xml:space="preserve">     Training                                          </v>
      </c>
      <c r="C52" s="14"/>
      <c r="D52" s="2">
        <f>SUM(OSRRefD22_7x_0)</f>
        <v>4000</v>
      </c>
      <c r="E52" s="2"/>
      <c r="F52" s="6">
        <f t="shared" si="0"/>
        <v>0</v>
      </c>
      <c r="G52" s="2"/>
      <c r="H52" s="2">
        <f>SUM(OSRRefH22_7x_0)</f>
        <v>300</v>
      </c>
      <c r="I52" s="2"/>
      <c r="J52" s="6">
        <f t="shared" si="1"/>
        <v>0</v>
      </c>
      <c r="K52" s="2"/>
      <c r="L52" s="2">
        <f t="shared" si="2"/>
        <v>3700</v>
      </c>
      <c r="M52" s="2"/>
      <c r="N52" s="6">
        <f t="shared" si="3"/>
        <v>12.333333333333334</v>
      </c>
      <c r="O52" s="14"/>
      <c r="P52" s="2">
        <f>SUM(OSRRefP22_7x_0)</f>
        <v>5148.87</v>
      </c>
      <c r="Q52" s="2"/>
      <c r="R52" s="6">
        <f t="shared" si="4"/>
        <v>0</v>
      </c>
      <c r="S52" s="2"/>
      <c r="T52" s="2">
        <f>SUM(OSRRefT22_7x_0)</f>
        <v>2400</v>
      </c>
      <c r="U52" s="2"/>
      <c r="V52" s="6">
        <f t="shared" si="5"/>
        <v>0</v>
      </c>
      <c r="W52" s="2"/>
      <c r="X52" s="2">
        <f t="shared" si="6"/>
        <v>2748.87</v>
      </c>
      <c r="Y52" s="2"/>
      <c r="Z52" s="6">
        <f t="shared" si="7"/>
        <v>1.1453625000000001</v>
      </c>
    </row>
    <row r="53" spans="1:26" s="70" customFormat="1" ht="15" hidden="1" customHeight="1" outlineLevel="2" x14ac:dyDescent="0.3">
      <c r="A53" s="26"/>
      <c r="B53" s="12" t="str">
        <f>CONCATENATE("          ","6376"," - ","TRAINING")</f>
        <v xml:space="preserve">          6376 - TRAINING</v>
      </c>
      <c r="C53" s="12"/>
      <c r="D53" s="8">
        <v>4000</v>
      </c>
      <c r="E53" s="3"/>
      <c r="F53" s="7">
        <f t="shared" si="0"/>
        <v>0</v>
      </c>
      <c r="G53" s="3"/>
      <c r="H53" s="8">
        <v>300</v>
      </c>
      <c r="I53" s="3"/>
      <c r="J53" s="7">
        <f t="shared" si="1"/>
        <v>0</v>
      </c>
      <c r="K53" s="3"/>
      <c r="L53" s="8">
        <f t="shared" si="2"/>
        <v>3700</v>
      </c>
      <c r="M53" s="3"/>
      <c r="N53" s="7">
        <f t="shared" si="3"/>
        <v>12.333333333333334</v>
      </c>
      <c r="O53" s="12"/>
      <c r="P53" s="8">
        <v>5148.87</v>
      </c>
      <c r="Q53" s="3"/>
      <c r="R53" s="7">
        <f t="shared" si="4"/>
        <v>0</v>
      </c>
      <c r="S53" s="3"/>
      <c r="T53" s="8">
        <v>2400</v>
      </c>
      <c r="U53" s="3"/>
      <c r="V53" s="7">
        <f t="shared" si="5"/>
        <v>0</v>
      </c>
      <c r="W53" s="3"/>
      <c r="X53" s="8">
        <f t="shared" si="6"/>
        <v>2748.87</v>
      </c>
      <c r="Y53" s="3"/>
      <c r="Z53" s="7">
        <f t="shared" si="7"/>
        <v>1.1453625000000001</v>
      </c>
    </row>
    <row r="54" spans="1:26" s="69" customFormat="1" ht="15" customHeight="1" outlineLevel="1" collapsed="1" x14ac:dyDescent="0.3">
      <c r="A54" s="25"/>
      <c r="B54" s="14" t="str">
        <f>CONCATENATE("     ","Travel                                            ")</f>
        <v xml:space="preserve">     Travel                                            </v>
      </c>
      <c r="C54" s="14"/>
      <c r="D54" s="2">
        <f>SUM(OSRRefD22_8x_0)</f>
        <v>0</v>
      </c>
      <c r="E54" s="2"/>
      <c r="F54" s="6">
        <f t="shared" si="0"/>
        <v>0</v>
      </c>
      <c r="G54" s="2"/>
      <c r="H54" s="2">
        <f>SUM(OSRRefH22_8x_0)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SUM(OSRRefP22_8x_0)</f>
        <v>595</v>
      </c>
      <c r="Q54" s="2"/>
      <c r="R54" s="6">
        <f t="shared" si="4"/>
        <v>0</v>
      </c>
      <c r="S54" s="2"/>
      <c r="T54" s="2">
        <f>SUM(OSRRefT22_8x_0)</f>
        <v>0</v>
      </c>
      <c r="U54" s="2"/>
      <c r="V54" s="6">
        <f t="shared" si="5"/>
        <v>0</v>
      </c>
      <c r="W54" s="2"/>
      <c r="X54" s="2">
        <f t="shared" si="6"/>
        <v>595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","6292"," - ","TRAVEL/CONFERENCE")</f>
        <v xml:space="preserve">          6292 - TRAVEL/CONFERENCE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595</v>
      </c>
      <c r="Q55" s="3"/>
      <c r="R55" s="7">
        <f t="shared" si="4"/>
        <v>0</v>
      </c>
      <c r="S55" s="3"/>
      <c r="T55" s="8"/>
      <c r="U55" s="3"/>
      <c r="V55" s="7">
        <f t="shared" si="5"/>
        <v>0</v>
      </c>
      <c r="W55" s="3"/>
      <c r="X55" s="8">
        <f t="shared" si="6"/>
        <v>595</v>
      </c>
      <c r="Y55" s="3"/>
      <c r="Z55" s="7">
        <f t="shared" si="7"/>
        <v>0</v>
      </c>
    </row>
    <row r="56" spans="1:26" s="65" customFormat="1" ht="15" customHeight="1" x14ac:dyDescent="0.3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3">
      <c r="A57" s="11"/>
      <c r="B57" s="27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11"/>
      <c r="B59" s="28" t="s">
        <v>292</v>
      </c>
      <c r="C59" s="28"/>
      <c r="D59" s="21">
        <f>+D16-D18+D57</f>
        <v>-22910.55</v>
      </c>
      <c r="E59" s="15"/>
      <c r="F59" s="22">
        <f>IF(D$12=0,0,D59/D$12)</f>
        <v>0</v>
      </c>
      <c r="G59" s="15"/>
      <c r="H59" s="21">
        <f>+H16-H18+H57</f>
        <v>-17497.431652200001</v>
      </c>
      <c r="I59" s="15"/>
      <c r="J59" s="22">
        <f>IF(H$12=0,0,H59/H$12)</f>
        <v>0</v>
      </c>
      <c r="K59" s="16"/>
      <c r="L59" s="21">
        <f>+D59-H59</f>
        <v>-5413.1183477999984</v>
      </c>
      <c r="M59" s="16"/>
      <c r="N59" s="22">
        <f>IF(H59=0,0,L59/H59)</f>
        <v>0.30936645191120904</v>
      </c>
      <c r="O59" s="27"/>
      <c r="P59" s="21">
        <f>+P16-P18+P57</f>
        <v>-160765.99</v>
      </c>
      <c r="Q59" s="15"/>
      <c r="R59" s="22">
        <f>IF(P$12=0,0,P59/P$12)</f>
        <v>0</v>
      </c>
      <c r="S59" s="15"/>
      <c r="T59" s="21">
        <f>+T16-T18+T57</f>
        <v>-146200.43552745</v>
      </c>
      <c r="U59" s="15"/>
      <c r="V59" s="22">
        <f>IF(T$12=0,0,T59/T$12)</f>
        <v>0</v>
      </c>
      <c r="W59" s="16"/>
      <c r="X59" s="21">
        <f>+P59-T59</f>
        <v>-14565.554472549993</v>
      </c>
      <c r="Y59" s="16"/>
      <c r="Z59" s="22">
        <f>IF(T59=0,0,X59/T59)</f>
        <v>9.9627298783355703E-2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49"/>
      <c r="B61" s="11" t="s">
        <v>293</v>
      </c>
      <c r="C61" s="11"/>
      <c r="D61" s="5"/>
      <c r="E61" s="5"/>
      <c r="F61" s="13">
        <f>IF(D$12=0,0,D61/D$12)</f>
        <v>0</v>
      </c>
      <c r="G61" s="5"/>
      <c r="H61" s="5"/>
      <c r="I61" s="5"/>
      <c r="J61" s="13">
        <f>IF(H$12=0,0,H61/H$12)</f>
        <v>0</v>
      </c>
      <c r="K61" s="5"/>
      <c r="L61" s="5">
        <f>+D61-H61</f>
        <v>0</v>
      </c>
      <c r="M61" s="5"/>
      <c r="N61" s="13">
        <f>IF(H61=0,0,L61/H61)</f>
        <v>0</v>
      </c>
      <c r="O61" s="11"/>
      <c r="P61" s="5"/>
      <c r="Q61" s="5"/>
      <c r="R61" s="13">
        <f>IF(P$12=0,0,P61/P$12)</f>
        <v>0</v>
      </c>
      <c r="S61" s="5"/>
      <c r="T61" s="5"/>
      <c r="U61" s="5"/>
      <c r="V61" s="13">
        <f>IF(T$12=0,0,T61/T$12)</f>
        <v>0</v>
      </c>
      <c r="W61" s="5"/>
      <c r="X61" s="5">
        <f>+P61-T61</f>
        <v>0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3">
      <c r="A63" s="11"/>
      <c r="B63" s="28" t="s">
        <v>294</v>
      </c>
      <c r="C63" s="28"/>
      <c r="D63" s="33">
        <f>+D59-D61</f>
        <v>-22910.55</v>
      </c>
      <c r="E63" s="15"/>
      <c r="F63" s="32">
        <f>IF(D$12=0,0,D63/D$12)</f>
        <v>0</v>
      </c>
      <c r="G63" s="15"/>
      <c r="H63" s="33">
        <f>+H59-H61</f>
        <v>-17497.431652200001</v>
      </c>
      <c r="I63" s="15"/>
      <c r="J63" s="32">
        <f>IF(H$12=0,0,H63/H$12)</f>
        <v>0</v>
      </c>
      <c r="K63" s="16"/>
      <c r="L63" s="33">
        <f>D63-H63</f>
        <v>-5413.1183477999984</v>
      </c>
      <c r="M63" s="16"/>
      <c r="N63" s="32">
        <f>IF(H63=0,0,L63/H63)</f>
        <v>0.30936645191120904</v>
      </c>
      <c r="O63" s="27"/>
      <c r="P63" s="33">
        <f>+P59-P61</f>
        <v>-160765.99</v>
      </c>
      <c r="Q63" s="15"/>
      <c r="R63" s="32">
        <f>IF(P$12=0,0,P63/P$12)</f>
        <v>0</v>
      </c>
      <c r="S63" s="15"/>
      <c r="T63" s="33">
        <f>+T59-T61</f>
        <v>-146200.43552745</v>
      </c>
      <c r="U63" s="15"/>
      <c r="V63" s="32">
        <f>IF(T$12=0,0,T63/T$12)</f>
        <v>0</v>
      </c>
      <c r="W63" s="16"/>
      <c r="X63" s="33">
        <f>P63-T63</f>
        <v>-14565.554472549993</v>
      </c>
      <c r="Y63" s="16"/>
      <c r="Z63" s="32">
        <f>IF(T63=0,0,X63/T63)</f>
        <v>9.9627298783355703E-2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3">
      <c r="A66" s="11"/>
      <c r="B66" s="28" t="s">
        <v>297</v>
      </c>
      <c r="C66" s="28"/>
      <c r="D66" s="34">
        <f>SUM(D63:D65)</f>
        <v>-22910.55</v>
      </c>
      <c r="E66" s="15"/>
      <c r="F66" s="30">
        <f>IF(D$12=0,0,D66/D$12)</f>
        <v>0</v>
      </c>
      <c r="G66" s="15"/>
      <c r="H66" s="34">
        <f>SUM(H63:H65)</f>
        <v>-17497.431652200001</v>
      </c>
      <c r="I66" s="15"/>
      <c r="J66" s="30">
        <f>IF(H$12=0,0,H66/H$12)</f>
        <v>0</v>
      </c>
      <c r="K66" s="16"/>
      <c r="L66" s="34">
        <f>+D66-H66</f>
        <v>-5413.1183477999984</v>
      </c>
      <c r="M66" s="16"/>
      <c r="N66" s="30">
        <f>IF(H66=0,0,L66/H66)</f>
        <v>0.30936645191120904</v>
      </c>
      <c r="O66" s="27"/>
      <c r="P66" s="34">
        <f>SUM(P63:P65)</f>
        <v>-160765.99</v>
      </c>
      <c r="Q66" s="15"/>
      <c r="R66" s="30">
        <f>IF(P$12=0,0,P66/P$12)</f>
        <v>0</v>
      </c>
      <c r="S66" s="15"/>
      <c r="T66" s="34">
        <f>SUM(T63:T65)</f>
        <v>-146200.43552745</v>
      </c>
      <c r="U66" s="15"/>
      <c r="V66" s="30">
        <f>IF(T$12=0,0,T66/T$12)</f>
        <v>0</v>
      </c>
      <c r="W66" s="16"/>
      <c r="X66" s="34">
        <f>+P66-T66</f>
        <v>-14565.554472549993</v>
      </c>
      <c r="Y66" s="16"/>
      <c r="Z66" s="30">
        <f>IF(T66=0,0,X66/T66)</f>
        <v>9.9627298783355703E-2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1"/>
      <c r="K67" s="19"/>
      <c r="L67" s="19"/>
      <c r="M67" s="19"/>
      <c r="P67" s="19"/>
      <c r="Q67" s="19"/>
      <c r="R67" s="41"/>
      <c r="S67" s="19"/>
      <c r="T67" s="19"/>
      <c r="U67" s="19"/>
      <c r="V67" s="41"/>
      <c r="W67" s="19"/>
      <c r="X67" s="19"/>
    </row>
    <row r="68" spans="1:26" ht="15" customHeight="1" x14ac:dyDescent="0.3">
      <c r="A68" s="10"/>
      <c r="B68" s="57">
        <v>44634.883430555557</v>
      </c>
      <c r="D68" s="19"/>
      <c r="E68" s="19"/>
      <c r="G68" s="19"/>
      <c r="H68" s="19"/>
      <c r="I68" s="19"/>
      <c r="J68" s="41"/>
      <c r="K68" s="19"/>
      <c r="L68" s="19"/>
      <c r="M68" s="19"/>
      <c r="P68" s="19"/>
      <c r="Q68" s="19"/>
      <c r="R68" s="41"/>
      <c r="S68" s="19"/>
      <c r="T68" s="19"/>
      <c r="U68" s="19"/>
      <c r="V68" s="41"/>
      <c r="W68" s="19"/>
      <c r="X68" s="19"/>
    </row>
    <row r="69" spans="1:26" ht="15" customHeight="1" x14ac:dyDescent="0.3">
      <c r="A69" s="10"/>
      <c r="B69" s="56" t="s">
        <v>298</v>
      </c>
      <c r="D69" s="19"/>
      <c r="E69" s="19"/>
      <c r="G69" s="19"/>
      <c r="H69" s="19"/>
      <c r="I69" s="19"/>
      <c r="J69" s="41"/>
      <c r="K69" s="19"/>
      <c r="L69" s="19"/>
      <c r="M69" s="19"/>
      <c r="P69" s="19"/>
      <c r="Q69" s="19"/>
      <c r="R69" s="41"/>
      <c r="S69" s="19"/>
      <c r="T69" s="19"/>
      <c r="U69" s="19"/>
      <c r="V69" s="41"/>
      <c r="W69" s="19"/>
      <c r="X69" s="19"/>
    </row>
    <row r="70" spans="1:26" ht="15" customHeight="1" x14ac:dyDescent="0.3">
      <c r="A70" s="10"/>
      <c r="B70" s="54"/>
      <c r="D70" s="19"/>
      <c r="E70" s="19"/>
      <c r="G70" s="19"/>
      <c r="H70" s="19"/>
      <c r="I70" s="19"/>
      <c r="J70" s="41"/>
      <c r="K70" s="19"/>
      <c r="L70" s="19"/>
      <c r="M70" s="19"/>
      <c r="P70" s="19"/>
      <c r="Q70" s="19"/>
      <c r="R70" s="41"/>
      <c r="S70" s="19"/>
      <c r="T70" s="19"/>
      <c r="U70" s="19"/>
      <c r="V70" s="41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1"/>
      <c r="K71" s="19"/>
      <c r="L71" s="19"/>
      <c r="M71" s="19"/>
      <c r="P71" s="19"/>
      <c r="Q71" s="19"/>
      <c r="R71" s="41"/>
      <c r="S71" s="19"/>
      <c r="T71" s="19"/>
      <c r="U71" s="19"/>
      <c r="V71" s="41"/>
      <c r="W71" s="19"/>
      <c r="X71" s="19"/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D5CE-67E5-E9B9-CF08-D0F787DD9631}">
  <sheetPr>
    <tabColor rgb="FF92D050"/>
    <outlinePr summaryBelow="0" summaryRight="0"/>
  </sheetPr>
  <dimension ref="A2:Z10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","433"," - ","Hillside Dining Hall")</f>
        <v>Department 433 - Hillside Dining Hall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457105.72000000003</v>
      </c>
      <c r="E12" s="5"/>
      <c r="F12" s="13"/>
      <c r="G12" s="5"/>
      <c r="H12" s="5">
        <f>SUM(OSRRefH13x_0)</f>
        <v>453600</v>
      </c>
      <c r="I12" s="5"/>
      <c r="J12" s="13"/>
      <c r="K12" s="5"/>
      <c r="L12" s="5">
        <f>+D12-H12</f>
        <v>3505.7200000000303</v>
      </c>
      <c r="M12" s="5"/>
      <c r="N12" s="13">
        <f>IF(H12=0,0,L12/H12)</f>
        <v>7.7286596119930124E-3</v>
      </c>
      <c r="O12" s="11"/>
      <c r="P12" s="5">
        <f>SUM(OSRRefP13x_0)</f>
        <v>2697368.1500000004</v>
      </c>
      <c r="Q12" s="5"/>
      <c r="R12" s="13"/>
      <c r="S12" s="5"/>
      <c r="T12" s="5">
        <f>SUM(OSRRefT13x_0)</f>
        <v>2446200</v>
      </c>
      <c r="U12" s="5"/>
      <c r="V12" s="13"/>
      <c r="W12" s="5"/>
      <c r="X12" s="5">
        <f>+P12-T12</f>
        <v>251168.15000000037</v>
      </c>
      <c r="Y12" s="5"/>
      <c r="Z12" s="13">
        <f>IF(T12=0,0,X12/T12)</f>
        <v>0.10267686615975814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--264.59</f>
        <v>264.58999999999997</v>
      </c>
      <c r="E13" s="3"/>
      <c r="F13" s="20"/>
      <c r="G13" s="3"/>
      <c r="H13" s="3"/>
      <c r="I13" s="3"/>
      <c r="J13" s="20"/>
      <c r="K13" s="3"/>
      <c r="L13" s="3">
        <f>+D13-H13</f>
        <v>264.58999999999997</v>
      </c>
      <c r="M13" s="3"/>
      <c r="N13" s="20">
        <f>IF(H13=0,0,L13/H13)</f>
        <v>0</v>
      </c>
      <c r="O13" s="12"/>
      <c r="P13" s="3">
        <f>--2119.7</f>
        <v>2119.6999999999998</v>
      </c>
      <c r="Q13" s="3"/>
      <c r="R13" s="20"/>
      <c r="S13" s="3"/>
      <c r="T13" s="3"/>
      <c r="U13" s="3"/>
      <c r="V13" s="20"/>
      <c r="W13" s="3"/>
      <c r="X13" s="3">
        <f>+P13-T13</f>
        <v>2119.6999999999998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453600</v>
      </c>
      <c r="I14" s="3"/>
      <c r="J14" s="20"/>
      <c r="K14" s="3"/>
      <c r="L14" s="3">
        <f>+D14-H14</f>
        <v>-453600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2446200</v>
      </c>
      <c r="U14" s="3"/>
      <c r="V14" s="20"/>
      <c r="W14" s="3"/>
      <c r="X14" s="3">
        <f>+P14-T14</f>
        <v>-2446200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--441676.98</f>
        <v>441676.98</v>
      </c>
      <c r="E15" s="3"/>
      <c r="F15" s="20"/>
      <c r="G15" s="3"/>
      <c r="H15" s="3"/>
      <c r="I15" s="3"/>
      <c r="J15" s="20"/>
      <c r="K15" s="3"/>
      <c r="L15" s="3">
        <f>+D15-H15</f>
        <v>441676.98</v>
      </c>
      <c r="M15" s="3"/>
      <c r="N15" s="20">
        <f>IF(H15=0,0,L15/H15)</f>
        <v>0</v>
      </c>
      <c r="O15" s="12"/>
      <c r="P15" s="3">
        <f>--2638368.41</f>
        <v>2638368.41</v>
      </c>
      <c r="Q15" s="3"/>
      <c r="R15" s="20"/>
      <c r="S15" s="3"/>
      <c r="T15" s="3"/>
      <c r="U15" s="3"/>
      <c r="V15" s="20"/>
      <c r="W15" s="3"/>
      <c r="X15" s="3">
        <f>+P15-T15</f>
        <v>2638368.41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--15164.15</f>
        <v>15164.15</v>
      </c>
      <c r="E16" s="3"/>
      <c r="F16" s="20"/>
      <c r="G16" s="3"/>
      <c r="H16" s="3"/>
      <c r="I16" s="3"/>
      <c r="J16" s="20"/>
      <c r="K16" s="3"/>
      <c r="L16" s="3">
        <f>+D16-H16</f>
        <v>15164.15</v>
      </c>
      <c r="M16" s="3"/>
      <c r="N16" s="20">
        <f>IF(H16=0,0,L16/H16)</f>
        <v>0</v>
      </c>
      <c r="O16" s="12"/>
      <c r="P16" s="3">
        <f>--56880.04</f>
        <v>56880.04</v>
      </c>
      <c r="Q16" s="3"/>
      <c r="R16" s="20"/>
      <c r="S16" s="3"/>
      <c r="T16" s="3"/>
      <c r="U16" s="3"/>
      <c r="V16" s="20"/>
      <c r="W16" s="3"/>
      <c r="X16" s="3">
        <f>+P16-T16</f>
        <v>56880.04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105179.09</v>
      </c>
      <c r="E18" s="5"/>
      <c r="F18" s="13">
        <f>IF(D$12=0,0,D18/D$12)</f>
        <v>0.23009795195737212</v>
      </c>
      <c r="G18" s="5"/>
      <c r="H18" s="5">
        <f>SUM(OSRRefH16x_0)</f>
        <v>117936</v>
      </c>
      <c r="I18" s="5"/>
      <c r="J18" s="13">
        <f>IF(H$12=0,0,H18/H$12)</f>
        <v>0.26</v>
      </c>
      <c r="K18" s="5"/>
      <c r="L18" s="5">
        <f>+D18-H18</f>
        <v>-12756.910000000003</v>
      </c>
      <c r="M18" s="5"/>
      <c r="N18" s="13">
        <f>IF(H18=0,0,L18/H18)</f>
        <v>-0.10816807420974091</v>
      </c>
      <c r="O18" s="11"/>
      <c r="P18" s="5">
        <f>SUM(OSRRefP16x_0)</f>
        <v>672357.56</v>
      </c>
      <c r="Q18" s="5"/>
      <c r="R18" s="13">
        <f>IF(P$12=0,0,P18/P$12)</f>
        <v>0.24926429119436291</v>
      </c>
      <c r="S18" s="5"/>
      <c r="T18" s="5">
        <f>SUM(OSRRefT16x_0)</f>
        <v>702270</v>
      </c>
      <c r="U18" s="5"/>
      <c r="V18" s="13">
        <f>IF(T$12=0,0,T18/T$12)</f>
        <v>0.28708609271523178</v>
      </c>
      <c r="W18" s="5"/>
      <c r="X18" s="5">
        <f>+P18-T18</f>
        <v>-29912.439999999944</v>
      </c>
      <c r="Y18" s="5"/>
      <c r="Z18" s="13">
        <f>IF(T18=0,0,X18/T18)</f>
        <v>-4.2593931109117494E-2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117936</v>
      </c>
      <c r="I19" s="3"/>
      <c r="J19" s="20">
        <f>IF(H$12=0,0,H19/H$12)</f>
        <v>0.26</v>
      </c>
      <c r="K19" s="3"/>
      <c r="L19" s="3">
        <f>+D19-H19</f>
        <v>-117936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702270</v>
      </c>
      <c r="U19" s="3"/>
      <c r="V19" s="20">
        <f>IF(T$12=0,0,T19/T$12)</f>
        <v>0.28708609271523178</v>
      </c>
      <c r="W19" s="3"/>
      <c r="X19" s="3">
        <f>+P19-T19</f>
        <v>-702270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108401.09</v>
      </c>
      <c r="E20" s="3"/>
      <c r="F20" s="20">
        <f>IF(D$12=0,0,D20/D$12)</f>
        <v>0.23714664957594489</v>
      </c>
      <c r="G20" s="3"/>
      <c r="H20" s="3"/>
      <c r="I20" s="3"/>
      <c r="J20" s="20">
        <f>IF(H$12=0,0,H20/H$12)</f>
        <v>0</v>
      </c>
      <c r="K20" s="3"/>
      <c r="L20" s="3">
        <f>+D20-H20</f>
        <v>108401.09</v>
      </c>
      <c r="M20" s="3"/>
      <c r="N20" s="20">
        <f>IF(H20=0,0,L20/H20)</f>
        <v>0</v>
      </c>
      <c r="O20" s="12"/>
      <c r="P20" s="3">
        <v>696765.56</v>
      </c>
      <c r="Q20" s="3"/>
      <c r="R20" s="20">
        <f>IF(P$12=0,0,P20/P$12)</f>
        <v>0.25831311161585413</v>
      </c>
      <c r="S20" s="3"/>
      <c r="T20" s="3"/>
      <c r="U20" s="3"/>
      <c r="V20" s="20">
        <f>IF(T$12=0,0,T20/T$12)</f>
        <v>0</v>
      </c>
      <c r="W20" s="3"/>
      <c r="X20" s="3">
        <f>+P20-T20</f>
        <v>696765.56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-3222</v>
      </c>
      <c r="E21" s="3"/>
      <c r="F21" s="20">
        <f>IF(D$12=0,0,D21/D$12)</f>
        <v>-7.0486976185727881E-3</v>
      </c>
      <c r="G21" s="3"/>
      <c r="H21" s="3"/>
      <c r="I21" s="3"/>
      <c r="J21" s="20">
        <f>IF(H$12=0,0,H21/H$12)</f>
        <v>0</v>
      </c>
      <c r="K21" s="3"/>
      <c r="L21" s="3">
        <f>+D21-H21</f>
        <v>-3222</v>
      </c>
      <c r="M21" s="3"/>
      <c r="N21" s="20">
        <f>IF(H21=0,0,L21/H21)</f>
        <v>0</v>
      </c>
      <c r="O21" s="12"/>
      <c r="P21" s="3">
        <v>-24408</v>
      </c>
      <c r="Q21" s="3"/>
      <c r="R21" s="20">
        <f>IF(P$12=0,0,P21/P$12)</f>
        <v>-9.0488204214912212E-3</v>
      </c>
      <c r="S21" s="3"/>
      <c r="T21" s="3"/>
      <c r="U21" s="3"/>
      <c r="V21" s="20">
        <f>IF(T$12=0,0,T21/T$12)</f>
        <v>0</v>
      </c>
      <c r="W21" s="3"/>
      <c r="X21" s="3">
        <f>+P21-T21</f>
        <v>-24408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D12-D18</f>
        <v>351926.63</v>
      </c>
      <c r="E23" s="15"/>
      <c r="F23" s="22">
        <f>IF(D$12=0,0,D23/D$12)</f>
        <v>0.76990204804262785</v>
      </c>
      <c r="G23" s="15"/>
      <c r="H23" s="21">
        <f>H12-H18</f>
        <v>335664</v>
      </c>
      <c r="I23" s="15"/>
      <c r="J23" s="22">
        <f>IF(H$12=0,0,H23/H$12)</f>
        <v>0.74</v>
      </c>
      <c r="K23" s="16"/>
      <c r="L23" s="21">
        <f>+D23-H23</f>
        <v>16262.630000000005</v>
      </c>
      <c r="M23" s="16"/>
      <c r="N23" s="22">
        <f>IF(H23=0,0,L23/H23)</f>
        <v>4.8449133657467003E-2</v>
      </c>
      <c r="O23" s="27"/>
      <c r="P23" s="21">
        <f>P12-P18</f>
        <v>2025010.5900000003</v>
      </c>
      <c r="Q23" s="15"/>
      <c r="R23" s="22">
        <f>IF(P$12=0,0,P23/P$12)</f>
        <v>0.75073570880563711</v>
      </c>
      <c r="S23" s="15"/>
      <c r="T23" s="21">
        <f>T12-T18</f>
        <v>1743930</v>
      </c>
      <c r="U23" s="15"/>
      <c r="V23" s="22">
        <f>IF(T$12=0,0,T23/T$12)</f>
        <v>0.71291390728476822</v>
      </c>
      <c r="W23" s="16"/>
      <c r="X23" s="21">
        <f>+P23-T23</f>
        <v>281080.59000000032</v>
      </c>
      <c r="Y23" s="16"/>
      <c r="Z23" s="22">
        <f>IF(T23=0,0,X23/T23)</f>
        <v>0.16117653231494403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159838.86999999997</v>
      </c>
      <c r="E25" s="23"/>
      <c r="F25" s="29">
        <f t="shared" ref="F25:F56" si="0">IF(D$12=0,0,D25/D$12)</f>
        <v>0.34967593492376325</v>
      </c>
      <c r="G25" s="23"/>
      <c r="H25" s="23" cm="1">
        <f t="array" ref="H25">SUM(OSRRefH22x_0)</f>
        <v>176308.17189692304</v>
      </c>
      <c r="I25" s="23"/>
      <c r="J25" s="29">
        <f t="shared" ref="J25:J56" si="1">IF(H$12=0,0,H25/H$12)</f>
        <v>0.38868644598087093</v>
      </c>
      <c r="K25" s="5"/>
      <c r="L25" s="23">
        <f t="shared" ref="L25:L56" si="2">+D25-H25</f>
        <v>-16469.301896923076</v>
      </c>
      <c r="M25" s="5"/>
      <c r="N25" s="29">
        <f t="shared" ref="N25:N56" si="3">IF(H25=0,0,L25/H25)</f>
        <v>-9.3412016696263533E-2</v>
      </c>
      <c r="O25" s="11"/>
      <c r="P25" s="23" cm="1">
        <f t="array" ref="P25">SUM(OSRRefP22x_0)</f>
        <v>1088035.0399999998</v>
      </c>
      <c r="Q25" s="23"/>
      <c r="R25" s="29">
        <f t="shared" ref="R25:R56" si="4">IF(P$12=0,0,P25/P$12)</f>
        <v>0.40336912853367818</v>
      </c>
      <c r="S25" s="23"/>
      <c r="T25" s="23" cm="1">
        <f t="array" ref="T25">SUM(OSRRefT22x_0)</f>
        <v>1308761.9265980762</v>
      </c>
      <c r="U25" s="23"/>
      <c r="V25" s="29">
        <f t="shared" ref="V25:V56" si="5">IF(T$12=0,0,T25/T$12)</f>
        <v>0.53501836587281348</v>
      </c>
      <c r="W25" s="5"/>
      <c r="X25" s="23">
        <f t="shared" ref="X25:X56" si="6">+P25-T25</f>
        <v>-220726.88659807644</v>
      </c>
      <c r="Y25" s="5"/>
      <c r="Z25" s="29">
        <f t="shared" ref="Z25:Z56" si="7">IF(T25=0,0,X25/T25)</f>
        <v>-0.16865319972427817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26309.539999999997</v>
      </c>
      <c r="E26" s="2"/>
      <c r="F26" s="6">
        <f t="shared" si="0"/>
        <v>5.7556794520094816E-2</v>
      </c>
      <c r="G26" s="2"/>
      <c r="H26" s="2">
        <f>SUM(OSRRefH22_0x_0)</f>
        <v>33670.750358461526</v>
      </c>
      <c r="I26" s="2"/>
      <c r="J26" s="6">
        <f t="shared" si="1"/>
        <v>7.4230049291140937E-2</v>
      </c>
      <c r="K26" s="2"/>
      <c r="L26" s="2">
        <f t="shared" si="2"/>
        <v>-7361.2103584615288</v>
      </c>
      <c r="M26" s="2"/>
      <c r="N26" s="6">
        <f t="shared" si="3"/>
        <v>-0.21862329410819448</v>
      </c>
      <c r="O26" s="14"/>
      <c r="P26" s="2">
        <f>SUM(OSRRefP22_0x_0)</f>
        <v>211739.08000000005</v>
      </c>
      <c r="Q26" s="2"/>
      <c r="R26" s="6">
        <f t="shared" si="4"/>
        <v>7.8498398522278107E-2</v>
      </c>
      <c r="S26" s="2"/>
      <c r="T26" s="2">
        <f>SUM(OSRRefT22_0x_0)</f>
        <v>283466.73813653819</v>
      </c>
      <c r="U26" s="2"/>
      <c r="V26" s="6">
        <f t="shared" si="5"/>
        <v>0.11588044237451484</v>
      </c>
      <c r="W26" s="2"/>
      <c r="X26" s="2">
        <f t="shared" si="6"/>
        <v>-71727.658136538143</v>
      </c>
      <c r="Y26" s="2"/>
      <c r="Z26" s="6">
        <f t="shared" si="7"/>
        <v>-0.2530373002774981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3459.82</v>
      </c>
      <c r="E27" s="3"/>
      <c r="F27" s="7">
        <f t="shared" si="0"/>
        <v>7.5689711342925223E-3</v>
      </c>
      <c r="G27" s="3"/>
      <c r="H27" s="8">
        <v>4776.19020461538</v>
      </c>
      <c r="I27" s="3"/>
      <c r="J27" s="7">
        <f t="shared" si="1"/>
        <v>1.0529519851444841E-2</v>
      </c>
      <c r="K27" s="3"/>
      <c r="L27" s="8">
        <f t="shared" si="2"/>
        <v>-1316.3702046153799</v>
      </c>
      <c r="M27" s="3"/>
      <c r="N27" s="7">
        <f t="shared" si="3"/>
        <v>-0.27561092590980374</v>
      </c>
      <c r="O27" s="12"/>
      <c r="P27" s="8">
        <v>26546.6</v>
      </c>
      <c r="Q27" s="3"/>
      <c r="R27" s="7">
        <f t="shared" si="4"/>
        <v>9.8416673304309588E-3</v>
      </c>
      <c r="S27" s="3"/>
      <c r="T27" s="8">
        <v>39840.149290384601</v>
      </c>
      <c r="U27" s="3"/>
      <c r="V27" s="7">
        <f t="shared" si="5"/>
        <v>1.6286546190166219E-2</v>
      </c>
      <c r="W27" s="3"/>
      <c r="X27" s="8">
        <f t="shared" si="6"/>
        <v>-13293.549290384603</v>
      </c>
      <c r="Y27" s="3"/>
      <c r="Z27" s="7">
        <f t="shared" si="7"/>
        <v>-0.33367217561087287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2815.73</v>
      </c>
      <c r="E28" s="3"/>
      <c r="F28" s="7">
        <f t="shared" si="0"/>
        <v>6.1599097906716192E-3</v>
      </c>
      <c r="G28" s="3"/>
      <c r="H28" s="8">
        <v>3074.9931769230798</v>
      </c>
      <c r="I28" s="3"/>
      <c r="J28" s="7">
        <f t="shared" si="1"/>
        <v>6.7790854870438269E-3</v>
      </c>
      <c r="K28" s="3"/>
      <c r="L28" s="8">
        <f t="shared" si="2"/>
        <v>-259.26317692307975</v>
      </c>
      <c r="M28" s="3"/>
      <c r="N28" s="7">
        <f t="shared" si="3"/>
        <v>-8.4313415349592871E-2</v>
      </c>
      <c r="O28" s="12"/>
      <c r="P28" s="8">
        <v>16762.93</v>
      </c>
      <c r="Q28" s="3"/>
      <c r="R28" s="7">
        <f t="shared" si="4"/>
        <v>6.2145502830231007E-3</v>
      </c>
      <c r="S28" s="3"/>
      <c r="T28" s="8">
        <v>24333.017173077002</v>
      </c>
      <c r="U28" s="3"/>
      <c r="V28" s="7">
        <f t="shared" si="5"/>
        <v>9.9472721662484682E-3</v>
      </c>
      <c r="W28" s="3"/>
      <c r="X28" s="8">
        <f t="shared" si="6"/>
        <v>-7570.0871730770014</v>
      </c>
      <c r="Y28" s="3"/>
      <c r="Z28" s="7">
        <f t="shared" si="7"/>
        <v>-0.31110351499907052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14440.86</v>
      </c>
      <c r="E29" s="3"/>
      <c r="F29" s="7">
        <f t="shared" si="0"/>
        <v>3.1591947700851344E-2</v>
      </c>
      <c r="G29" s="3"/>
      <c r="H29" s="8">
        <v>20158.384615384599</v>
      </c>
      <c r="I29" s="3"/>
      <c r="J29" s="7">
        <f t="shared" si="1"/>
        <v>4.4440883190883157E-2</v>
      </c>
      <c r="K29" s="3"/>
      <c r="L29" s="8">
        <f t="shared" si="2"/>
        <v>-5717.5246153845983</v>
      </c>
      <c r="M29" s="3"/>
      <c r="N29" s="7">
        <f t="shared" si="3"/>
        <v>-0.28363009856558957</v>
      </c>
      <c r="O29" s="12"/>
      <c r="P29" s="8">
        <v>108409.92</v>
      </c>
      <c r="Q29" s="3"/>
      <c r="R29" s="7">
        <f t="shared" si="4"/>
        <v>4.0190998770412552E-2</v>
      </c>
      <c r="S29" s="3"/>
      <c r="T29" s="8">
        <v>171937.615384615</v>
      </c>
      <c r="U29" s="3"/>
      <c r="V29" s="7">
        <f t="shared" si="5"/>
        <v>7.0287636082337915E-2</v>
      </c>
      <c r="W29" s="3"/>
      <c r="X29" s="8">
        <f t="shared" si="6"/>
        <v>-63527.695384614999</v>
      </c>
      <c r="Y29" s="3"/>
      <c r="Z29" s="7">
        <f t="shared" si="7"/>
        <v>-0.36948107743908765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203.35</v>
      </c>
      <c r="E30" s="3"/>
      <c r="F30" s="7">
        <f t="shared" si="0"/>
        <v>4.4486426466070031E-4</v>
      </c>
      <c r="G30" s="3"/>
      <c r="H30" s="8">
        <v>170.38220769230799</v>
      </c>
      <c r="I30" s="3"/>
      <c r="J30" s="7">
        <f t="shared" si="1"/>
        <v>3.7562215099715162E-4</v>
      </c>
      <c r="K30" s="3"/>
      <c r="L30" s="8">
        <f t="shared" si="2"/>
        <v>32.967792307692008</v>
      </c>
      <c r="M30" s="3"/>
      <c r="N30" s="7">
        <f t="shared" si="3"/>
        <v>0.1934931631313776</v>
      </c>
      <c r="O30" s="12"/>
      <c r="P30" s="8">
        <v>1210.6600000000001</v>
      </c>
      <c r="Q30" s="3"/>
      <c r="R30" s="7">
        <f t="shared" si="4"/>
        <v>4.4883009388243866E-4</v>
      </c>
      <c r="S30" s="3"/>
      <c r="T30" s="8">
        <v>1348.2674423077001</v>
      </c>
      <c r="U30" s="3"/>
      <c r="V30" s="7">
        <f t="shared" si="5"/>
        <v>5.51168114752555E-4</v>
      </c>
      <c r="W30" s="3"/>
      <c r="X30" s="8">
        <f t="shared" si="6"/>
        <v>-137.60744230770001</v>
      </c>
      <c r="Y30" s="3"/>
      <c r="Z30" s="7">
        <f t="shared" si="7"/>
        <v>-0.10206242321788217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806.64</v>
      </c>
      <c r="E31" s="3"/>
      <c r="F31" s="7">
        <f t="shared" si="0"/>
        <v>1.7646683572456717E-3</v>
      </c>
      <c r="G31" s="3"/>
      <c r="H31" s="8">
        <v>1246.0870769230801</v>
      </c>
      <c r="I31" s="3"/>
      <c r="J31" s="7">
        <f t="shared" si="1"/>
        <v>2.7471055487722222E-3</v>
      </c>
      <c r="K31" s="3"/>
      <c r="L31" s="8">
        <f t="shared" si="2"/>
        <v>-439.44707692308009</v>
      </c>
      <c r="M31" s="3"/>
      <c r="N31" s="7">
        <f t="shared" si="3"/>
        <v>-0.35266161174561866</v>
      </c>
      <c r="O31" s="12"/>
      <c r="P31" s="8">
        <v>9940.11</v>
      </c>
      <c r="Q31" s="3"/>
      <c r="R31" s="7">
        <f t="shared" si="4"/>
        <v>3.6851143215285609E-3</v>
      </c>
      <c r="S31" s="3"/>
      <c r="T31" s="8">
        <v>10903.2619230769</v>
      </c>
      <c r="U31" s="3"/>
      <c r="V31" s="7">
        <f t="shared" si="5"/>
        <v>4.4572242347628568E-3</v>
      </c>
      <c r="W31" s="3"/>
      <c r="X31" s="8">
        <f t="shared" si="6"/>
        <v>-963.15192307689904</v>
      </c>
      <c r="Y31" s="3"/>
      <c r="Z31" s="7">
        <f t="shared" si="7"/>
        <v>-8.8336126369520221E-2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8">
        <v>557.12</v>
      </c>
      <c r="E33" s="3"/>
      <c r="F33" s="7">
        <f t="shared" si="0"/>
        <v>1.2187990121847523E-3</v>
      </c>
      <c r="G33" s="3"/>
      <c r="H33" s="8"/>
      <c r="I33" s="3"/>
      <c r="J33" s="7">
        <f t="shared" si="1"/>
        <v>0</v>
      </c>
      <c r="K33" s="3"/>
      <c r="L33" s="8">
        <f t="shared" si="2"/>
        <v>557.12</v>
      </c>
      <c r="M33" s="3"/>
      <c r="N33" s="7">
        <f t="shared" si="3"/>
        <v>0</v>
      </c>
      <c r="O33" s="12"/>
      <c r="P33" s="8">
        <v>4203.43</v>
      </c>
      <c r="Q33" s="3"/>
      <c r="R33" s="7">
        <f t="shared" si="4"/>
        <v>1.5583449370824667E-3</v>
      </c>
      <c r="S33" s="3"/>
      <c r="T33" s="8"/>
      <c r="U33" s="3"/>
      <c r="V33" s="7">
        <f t="shared" si="5"/>
        <v>0</v>
      </c>
      <c r="W33" s="3"/>
      <c r="X33" s="8">
        <f t="shared" si="6"/>
        <v>4203.43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1485.91</v>
      </c>
      <c r="E34" s="3"/>
      <c r="F34" s="7">
        <f t="shared" si="0"/>
        <v>3.2506922031078499E-3</v>
      </c>
      <c r="G34" s="3"/>
      <c r="H34" s="8">
        <v>1810.68153846154</v>
      </c>
      <c r="I34" s="3"/>
      <c r="J34" s="7">
        <f t="shared" si="1"/>
        <v>3.9918023334690033E-3</v>
      </c>
      <c r="K34" s="3"/>
      <c r="L34" s="8">
        <f t="shared" si="2"/>
        <v>-324.77153846153988</v>
      </c>
      <c r="M34" s="3"/>
      <c r="N34" s="7">
        <f t="shared" si="3"/>
        <v>-0.17936425128489719</v>
      </c>
      <c r="O34" s="12"/>
      <c r="P34" s="8">
        <v>18952.62</v>
      </c>
      <c r="Q34" s="3"/>
      <c r="R34" s="7">
        <f t="shared" si="4"/>
        <v>7.0263378767929756E-3</v>
      </c>
      <c r="S34" s="3"/>
      <c r="T34" s="8">
        <v>15843.4634615385</v>
      </c>
      <c r="U34" s="3"/>
      <c r="V34" s="7">
        <f t="shared" si="5"/>
        <v>6.4767653754960759E-3</v>
      </c>
      <c r="W34" s="3"/>
      <c r="X34" s="8">
        <f t="shared" si="6"/>
        <v>3109.1565384614987</v>
      </c>
      <c r="Y34" s="3"/>
      <c r="Z34" s="7">
        <f t="shared" si="7"/>
        <v>0.19624222607697295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1429.52</v>
      </c>
      <c r="E35" s="3"/>
      <c r="F35" s="7">
        <f t="shared" si="0"/>
        <v>3.1273290563942186E-3</v>
      </c>
      <c r="G35" s="3"/>
      <c r="H35" s="8">
        <v>2434.0315384615401</v>
      </c>
      <c r="I35" s="3"/>
      <c r="J35" s="7">
        <f t="shared" si="1"/>
        <v>5.3660307285307322E-3</v>
      </c>
      <c r="K35" s="3"/>
      <c r="L35" s="8">
        <f t="shared" si="2"/>
        <v>-1004.5115384615401</v>
      </c>
      <c r="M35" s="3"/>
      <c r="N35" s="7">
        <f t="shared" si="3"/>
        <v>-0.41269454507415876</v>
      </c>
      <c r="O35" s="12"/>
      <c r="P35" s="8">
        <v>16749.580000000002</v>
      </c>
      <c r="Q35" s="3"/>
      <c r="R35" s="7">
        <f t="shared" si="4"/>
        <v>6.2096010142330777E-3</v>
      </c>
      <c r="S35" s="3"/>
      <c r="T35" s="8">
        <v>19260.9634615385</v>
      </c>
      <c r="U35" s="3"/>
      <c r="V35" s="7">
        <f t="shared" si="5"/>
        <v>7.8738302107507572E-3</v>
      </c>
      <c r="W35" s="3"/>
      <c r="X35" s="8">
        <f t="shared" si="6"/>
        <v>-2511.3834615384985</v>
      </c>
      <c r="Y35" s="3"/>
      <c r="Z35" s="7">
        <f t="shared" si="7"/>
        <v>-0.13038721902740674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1110.5899999999999</v>
      </c>
      <c r="E36" s="3"/>
      <c r="F36" s="7">
        <f t="shared" si="0"/>
        <v>2.4296130006861427E-3</v>
      </c>
      <c r="G36" s="3"/>
      <c r="H36" s="8"/>
      <c r="I36" s="3"/>
      <c r="J36" s="7">
        <f t="shared" si="1"/>
        <v>0</v>
      </c>
      <c r="K36" s="3"/>
      <c r="L36" s="8">
        <f t="shared" si="2"/>
        <v>1110.5899999999999</v>
      </c>
      <c r="M36" s="3"/>
      <c r="N36" s="7">
        <f t="shared" si="3"/>
        <v>0</v>
      </c>
      <c r="O36" s="12"/>
      <c r="P36" s="8">
        <v>8963.23</v>
      </c>
      <c r="Q36" s="3"/>
      <c r="R36" s="7">
        <f t="shared" si="4"/>
        <v>3.3229538948919518E-3</v>
      </c>
      <c r="S36" s="3"/>
      <c r="T36" s="8"/>
      <c r="U36" s="3"/>
      <c r="V36" s="7">
        <f t="shared" si="5"/>
        <v>0</v>
      </c>
      <c r="W36" s="3"/>
      <c r="X36" s="8">
        <f t="shared" si="6"/>
        <v>8963.23</v>
      </c>
      <c r="Y36" s="3"/>
      <c r="Z36" s="7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81249.38</v>
      </c>
      <c r="E37" s="2"/>
      <c r="F37" s="6">
        <f t="shared" si="0"/>
        <v>0.17774745850916063</v>
      </c>
      <c r="G37" s="2"/>
      <c r="H37" s="2">
        <f>SUM(OSRRefH22_1x_0)</f>
        <v>78063.421538461494</v>
      </c>
      <c r="I37" s="2"/>
      <c r="J37" s="6">
        <f t="shared" si="1"/>
        <v>0.17209749016415674</v>
      </c>
      <c r="K37" s="2"/>
      <c r="L37" s="2">
        <f t="shared" si="2"/>
        <v>3185.9584615385102</v>
      </c>
      <c r="M37" s="2"/>
      <c r="N37" s="6">
        <f t="shared" si="3"/>
        <v>4.0812436846222565E-2</v>
      </c>
      <c r="O37" s="14"/>
      <c r="P37" s="2">
        <f>SUM(OSRRefP22_1x_0)</f>
        <v>519866.82</v>
      </c>
      <c r="Q37" s="2"/>
      <c r="R37" s="6">
        <f t="shared" si="4"/>
        <v>0.19273113312322604</v>
      </c>
      <c r="S37" s="2"/>
      <c r="T37" s="2">
        <f>SUM(OSRRefT22_1x_0)</f>
        <v>615161.18846153794</v>
      </c>
      <c r="U37" s="2"/>
      <c r="V37" s="6">
        <f t="shared" si="5"/>
        <v>0.25147624415891501</v>
      </c>
      <c r="W37" s="2"/>
      <c r="X37" s="2">
        <f t="shared" si="6"/>
        <v>-95294.368461537932</v>
      </c>
      <c r="Y37" s="2"/>
      <c r="Z37" s="6">
        <f t="shared" si="7"/>
        <v>-0.15490959158177789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8028.65</v>
      </c>
      <c r="E39" s="3"/>
      <c r="F39" s="7">
        <f t="shared" si="0"/>
        <v>1.7564098738471264E-2</v>
      </c>
      <c r="G39" s="3"/>
      <c r="H39" s="8">
        <v>13620.0215384615</v>
      </c>
      <c r="I39" s="3"/>
      <c r="J39" s="7">
        <f t="shared" si="1"/>
        <v>3.002650250983576E-2</v>
      </c>
      <c r="K39" s="3"/>
      <c r="L39" s="8">
        <f t="shared" si="2"/>
        <v>-5591.3715384615007</v>
      </c>
      <c r="M39" s="3"/>
      <c r="N39" s="7">
        <f t="shared" si="3"/>
        <v>-0.41052589547469209</v>
      </c>
      <c r="O39" s="12"/>
      <c r="P39" s="8">
        <v>104241.5</v>
      </c>
      <c r="Q39" s="3"/>
      <c r="R39" s="7">
        <f t="shared" si="4"/>
        <v>3.864563315170752E-2</v>
      </c>
      <c r="S39" s="3"/>
      <c r="T39" s="8">
        <v>119175.188461538</v>
      </c>
      <c r="U39" s="3"/>
      <c r="V39" s="7">
        <f t="shared" si="5"/>
        <v>4.8718497449733465E-2</v>
      </c>
      <c r="W39" s="3"/>
      <c r="X39" s="8">
        <f t="shared" si="6"/>
        <v>-14933.688461537997</v>
      </c>
      <c r="Y39" s="3"/>
      <c r="Z39" s="7">
        <f t="shared" si="7"/>
        <v>-0.1253087043899043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8">
        <v>34826.129999999997</v>
      </c>
      <c r="E41" s="3"/>
      <c r="F41" s="7">
        <f t="shared" si="0"/>
        <v>7.6188348725979613E-2</v>
      </c>
      <c r="G41" s="3"/>
      <c r="H41" s="8">
        <v>45718.400000000001</v>
      </c>
      <c r="I41" s="3"/>
      <c r="J41" s="7">
        <f t="shared" si="1"/>
        <v>0.10079012345679013</v>
      </c>
      <c r="K41" s="3"/>
      <c r="L41" s="8">
        <f t="shared" si="2"/>
        <v>-10892.270000000004</v>
      </c>
      <c r="M41" s="3"/>
      <c r="N41" s="7">
        <f t="shared" si="3"/>
        <v>-0.238246964023238</v>
      </c>
      <c r="O41" s="12"/>
      <c r="P41" s="8">
        <v>185867</v>
      </c>
      <c r="Q41" s="3"/>
      <c r="R41" s="7">
        <f t="shared" si="4"/>
        <v>6.8906797168195213E-2</v>
      </c>
      <c r="S41" s="3"/>
      <c r="T41" s="8">
        <v>374536</v>
      </c>
      <c r="U41" s="3"/>
      <c r="V41" s="7">
        <f t="shared" si="5"/>
        <v>0.15310931240291065</v>
      </c>
      <c r="W41" s="3"/>
      <c r="X41" s="8">
        <f t="shared" si="6"/>
        <v>-188669</v>
      </c>
      <c r="Y41" s="3"/>
      <c r="Z41" s="7">
        <f t="shared" si="7"/>
        <v>-0.50374062840421219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8">
        <v>6773.04</v>
      </c>
      <c r="E42" s="3"/>
      <c r="F42" s="7">
        <f t="shared" si="0"/>
        <v>1.4817228714617704E-2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6773.04</v>
      </c>
      <c r="M42" s="3"/>
      <c r="N42" s="7">
        <f t="shared" si="3"/>
        <v>0</v>
      </c>
      <c r="O42" s="12"/>
      <c r="P42" s="8">
        <v>86716.27</v>
      </c>
      <c r="Q42" s="3"/>
      <c r="R42" s="7">
        <f t="shared" si="4"/>
        <v>3.2148474059797878E-2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86716.27</v>
      </c>
      <c r="Y42" s="3"/>
      <c r="Z42" s="7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8">
        <v>10335.65</v>
      </c>
      <c r="E44" s="3"/>
      <c r="F44" s="7">
        <f t="shared" si="0"/>
        <v>2.261107124190001E-2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10335.65</v>
      </c>
      <c r="M44" s="3"/>
      <c r="N44" s="7">
        <f t="shared" si="3"/>
        <v>0</v>
      </c>
      <c r="O44" s="12"/>
      <c r="P44" s="8">
        <v>102034.5</v>
      </c>
      <c r="Q44" s="3"/>
      <c r="R44" s="7">
        <f t="shared" si="4"/>
        <v>3.7827428191439118E-2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102034.5</v>
      </c>
      <c r="Y44" s="3"/>
      <c r="Z44" s="7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8">
        <v>21285.91</v>
      </c>
      <c r="E45" s="3"/>
      <c r="F45" s="7">
        <f t="shared" si="0"/>
        <v>4.6566711088192027E-2</v>
      </c>
      <c r="G45" s="3"/>
      <c r="H45" s="8">
        <v>18725</v>
      </c>
      <c r="I45" s="3"/>
      <c r="J45" s="7">
        <f t="shared" si="1"/>
        <v>4.1280864197530867E-2</v>
      </c>
      <c r="K45" s="3"/>
      <c r="L45" s="8">
        <f t="shared" si="2"/>
        <v>2560.91</v>
      </c>
      <c r="M45" s="3"/>
      <c r="N45" s="7">
        <f t="shared" si="3"/>
        <v>0.13676421895861146</v>
      </c>
      <c r="O45" s="12"/>
      <c r="P45" s="8">
        <v>41007.550000000003</v>
      </c>
      <c r="Q45" s="3"/>
      <c r="R45" s="7">
        <f t="shared" si="4"/>
        <v>1.5202800552086298E-2</v>
      </c>
      <c r="S45" s="3"/>
      <c r="T45" s="8">
        <v>121450</v>
      </c>
      <c r="U45" s="3"/>
      <c r="V45" s="7">
        <f t="shared" si="5"/>
        <v>4.9648434306270951E-2</v>
      </c>
      <c r="W45" s="3"/>
      <c r="X45" s="8">
        <f t="shared" si="6"/>
        <v>-80442.45</v>
      </c>
      <c r="Y45" s="3"/>
      <c r="Z45" s="7">
        <f t="shared" si="7"/>
        <v>-0.66235034993824615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0</v>
      </c>
      <c r="E48" s="2"/>
      <c r="F48" s="6">
        <f t="shared" si="0"/>
        <v>0</v>
      </c>
      <c r="G48" s="2"/>
      <c r="H48" s="2">
        <f>SUM(OSRRefH22_2x_0)</f>
        <v>600</v>
      </c>
      <c r="I48" s="2"/>
      <c r="J48" s="6">
        <f t="shared" si="1"/>
        <v>1.3227513227513227E-3</v>
      </c>
      <c r="K48" s="2"/>
      <c r="L48" s="2">
        <f t="shared" si="2"/>
        <v>-600</v>
      </c>
      <c r="M48" s="2"/>
      <c r="N48" s="6">
        <f t="shared" si="3"/>
        <v>-1</v>
      </c>
      <c r="O48" s="14"/>
      <c r="P48" s="2">
        <f>SUM(OSRRefP22_2x_0)</f>
        <v>1284.6300000000001</v>
      </c>
      <c r="Q48" s="2"/>
      <c r="R48" s="6">
        <f t="shared" si="4"/>
        <v>4.762531210283624E-4</v>
      </c>
      <c r="S48" s="2"/>
      <c r="T48" s="2">
        <f>SUM(OSRRefT22_2x_0)</f>
        <v>4800</v>
      </c>
      <c r="U48" s="2"/>
      <c r="V48" s="6">
        <f t="shared" si="5"/>
        <v>1.9622271277900416E-3</v>
      </c>
      <c r="W48" s="2"/>
      <c r="X48" s="2">
        <f t="shared" si="6"/>
        <v>-3515.37</v>
      </c>
      <c r="Y48" s="2"/>
      <c r="Z48" s="6">
        <f t="shared" si="7"/>
        <v>-0.73236875000000001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/>
      <c r="E49" s="3"/>
      <c r="F49" s="7">
        <f t="shared" si="0"/>
        <v>0</v>
      </c>
      <c r="G49" s="3"/>
      <c r="H49" s="8">
        <v>600</v>
      </c>
      <c r="I49" s="3"/>
      <c r="J49" s="7">
        <f t="shared" si="1"/>
        <v>1.3227513227513227E-3</v>
      </c>
      <c r="K49" s="3"/>
      <c r="L49" s="8">
        <f t="shared" si="2"/>
        <v>-600</v>
      </c>
      <c r="M49" s="3"/>
      <c r="N49" s="7">
        <f t="shared" si="3"/>
        <v>-1</v>
      </c>
      <c r="O49" s="12"/>
      <c r="P49" s="8">
        <v>1284.6300000000001</v>
      </c>
      <c r="Q49" s="3"/>
      <c r="R49" s="7">
        <f t="shared" si="4"/>
        <v>4.762531210283624E-4</v>
      </c>
      <c r="S49" s="3"/>
      <c r="T49" s="8">
        <v>4800</v>
      </c>
      <c r="U49" s="3"/>
      <c r="V49" s="7">
        <f t="shared" si="5"/>
        <v>1.9622271277900416E-3</v>
      </c>
      <c r="W49" s="3"/>
      <c r="X49" s="8">
        <f t="shared" si="6"/>
        <v>-3515.37</v>
      </c>
      <c r="Y49" s="3"/>
      <c r="Z49" s="7">
        <f t="shared" si="7"/>
        <v>-0.73236875000000001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15</v>
      </c>
      <c r="I50" s="2"/>
      <c r="J50" s="6">
        <f t="shared" si="1"/>
        <v>3.3068783068783071E-5</v>
      </c>
      <c r="K50" s="2"/>
      <c r="L50" s="2">
        <f t="shared" si="2"/>
        <v>-15</v>
      </c>
      <c r="M50" s="2"/>
      <c r="N50" s="6">
        <f t="shared" si="3"/>
        <v>-1</v>
      </c>
      <c r="O50" s="14"/>
      <c r="P50" s="2">
        <f>SUM(OSRRefP22_3x_0)</f>
        <v>-23.9</v>
      </c>
      <c r="Q50" s="2"/>
      <c r="R50" s="6">
        <f t="shared" si="4"/>
        <v>-8.8604886952491068E-6</v>
      </c>
      <c r="S50" s="2"/>
      <c r="T50" s="2">
        <f>SUM(OSRRefT22_3x_0)</f>
        <v>120</v>
      </c>
      <c r="U50" s="2"/>
      <c r="V50" s="6">
        <f t="shared" si="5"/>
        <v>4.905567819475104E-5</v>
      </c>
      <c r="W50" s="2"/>
      <c r="X50" s="2">
        <f t="shared" si="6"/>
        <v>-143.9</v>
      </c>
      <c r="Y50" s="2"/>
      <c r="Z50" s="6">
        <f t="shared" si="7"/>
        <v>-1.1991666666666667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8"/>
      <c r="E51" s="3"/>
      <c r="F51" s="7">
        <f t="shared" si="0"/>
        <v>0</v>
      </c>
      <c r="G51" s="3"/>
      <c r="H51" s="8">
        <v>15</v>
      </c>
      <c r="I51" s="3"/>
      <c r="J51" s="7">
        <f t="shared" si="1"/>
        <v>3.3068783068783071E-5</v>
      </c>
      <c r="K51" s="3"/>
      <c r="L51" s="8">
        <f t="shared" si="2"/>
        <v>-15</v>
      </c>
      <c r="M51" s="3"/>
      <c r="N51" s="7">
        <f t="shared" si="3"/>
        <v>-1</v>
      </c>
      <c r="O51" s="12"/>
      <c r="P51" s="8">
        <v>-23.9</v>
      </c>
      <c r="Q51" s="3"/>
      <c r="R51" s="7">
        <f t="shared" si="4"/>
        <v>-8.8604886952491068E-6</v>
      </c>
      <c r="S51" s="3"/>
      <c r="T51" s="8">
        <v>120</v>
      </c>
      <c r="U51" s="3"/>
      <c r="V51" s="7">
        <f t="shared" si="5"/>
        <v>4.905567819475104E-5</v>
      </c>
      <c r="W51" s="3"/>
      <c r="X51" s="8">
        <f t="shared" si="6"/>
        <v>-143.9</v>
      </c>
      <c r="Y51" s="3"/>
      <c r="Z51" s="7">
        <f t="shared" si="7"/>
        <v>-1.1991666666666667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72.959999999999994</v>
      </c>
      <c r="E52" s="2"/>
      <c r="F52" s="6">
        <f t="shared" si="0"/>
        <v>1.5961296655837075E-4</v>
      </c>
      <c r="G52" s="2"/>
      <c r="H52" s="2">
        <f>SUM(OSRRefH22_4x_0)</f>
        <v>250</v>
      </c>
      <c r="I52" s="2"/>
      <c r="J52" s="6">
        <f t="shared" si="1"/>
        <v>5.5114638447971778E-4</v>
      </c>
      <c r="K52" s="2"/>
      <c r="L52" s="2">
        <f t="shared" si="2"/>
        <v>-177.04000000000002</v>
      </c>
      <c r="M52" s="2"/>
      <c r="N52" s="6">
        <f t="shared" si="3"/>
        <v>-0.70816000000000012</v>
      </c>
      <c r="O52" s="14"/>
      <c r="P52" s="2">
        <f>SUM(OSRRefP22_4x_0)</f>
        <v>347.93</v>
      </c>
      <c r="Q52" s="2"/>
      <c r="R52" s="6">
        <f t="shared" si="4"/>
        <v>1.2898869588862016E-4</v>
      </c>
      <c r="S52" s="2"/>
      <c r="T52" s="2">
        <f>SUM(OSRRefT22_4x_0)</f>
        <v>2000</v>
      </c>
      <c r="U52" s="2"/>
      <c r="V52" s="6">
        <f t="shared" si="5"/>
        <v>8.1759463657918405E-4</v>
      </c>
      <c r="W52" s="2"/>
      <c r="X52" s="2">
        <f t="shared" si="6"/>
        <v>-1652.07</v>
      </c>
      <c r="Y52" s="2"/>
      <c r="Z52" s="6">
        <f t="shared" si="7"/>
        <v>-0.82603499999999996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8">
        <v>72.959999999999994</v>
      </c>
      <c r="E53" s="3"/>
      <c r="F53" s="7">
        <f t="shared" si="0"/>
        <v>1.5961296655837075E-4</v>
      </c>
      <c r="G53" s="3"/>
      <c r="H53" s="8">
        <v>250</v>
      </c>
      <c r="I53" s="3"/>
      <c r="J53" s="7">
        <f t="shared" si="1"/>
        <v>5.5114638447971778E-4</v>
      </c>
      <c r="K53" s="3"/>
      <c r="L53" s="8">
        <f t="shared" si="2"/>
        <v>-177.04000000000002</v>
      </c>
      <c r="M53" s="3"/>
      <c r="N53" s="7">
        <f t="shared" si="3"/>
        <v>-0.70816000000000012</v>
      </c>
      <c r="O53" s="12"/>
      <c r="P53" s="8">
        <v>347.93</v>
      </c>
      <c r="Q53" s="3"/>
      <c r="R53" s="7">
        <f t="shared" si="4"/>
        <v>1.2898869588862016E-4</v>
      </c>
      <c r="S53" s="3"/>
      <c r="T53" s="8">
        <v>2000</v>
      </c>
      <c r="U53" s="3"/>
      <c r="V53" s="7">
        <f t="shared" si="5"/>
        <v>8.1759463657918405E-4</v>
      </c>
      <c r="W53" s="3"/>
      <c r="X53" s="8">
        <f t="shared" si="6"/>
        <v>-1652.07</v>
      </c>
      <c r="Y53" s="3"/>
      <c r="Z53" s="7">
        <f t="shared" si="7"/>
        <v>-0.82603499999999996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5.9835173359895817E-4</v>
      </c>
      <c r="G54" s="2"/>
      <c r="H54" s="2">
        <f>SUM(OSRRefH22_5x_0)</f>
        <v>0</v>
      </c>
      <c r="I54" s="2"/>
      <c r="J54" s="6">
        <f t="shared" si="1"/>
        <v>0</v>
      </c>
      <c r="K54" s="2"/>
      <c r="L54" s="2">
        <f t="shared" si="2"/>
        <v>273.51</v>
      </c>
      <c r="M54" s="2"/>
      <c r="N54" s="6">
        <f t="shared" si="3"/>
        <v>0</v>
      </c>
      <c r="O54" s="14"/>
      <c r="P54" s="2">
        <f>SUM(OSRRefP22_5x_0)</f>
        <v>2188.08</v>
      </c>
      <c r="Q54" s="2"/>
      <c r="R54" s="6">
        <f t="shared" si="4"/>
        <v>8.111907156611157E-4</v>
      </c>
      <c r="S54" s="2"/>
      <c r="T54" s="2">
        <f>SUM(OSRRefT22_5x_0)</f>
        <v>0</v>
      </c>
      <c r="U54" s="2"/>
      <c r="V54" s="6">
        <f t="shared" si="5"/>
        <v>0</v>
      </c>
      <c r="W54" s="2"/>
      <c r="X54" s="2">
        <f t="shared" si="6"/>
        <v>2188.08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273.51</v>
      </c>
      <c r="E55" s="3"/>
      <c r="F55" s="7">
        <f t="shared" si="0"/>
        <v>5.9835173359895817E-4</v>
      </c>
      <c r="G55" s="3"/>
      <c r="H55" s="8"/>
      <c r="I55" s="3"/>
      <c r="J55" s="7">
        <f t="shared" si="1"/>
        <v>0</v>
      </c>
      <c r="K55" s="3"/>
      <c r="L55" s="8">
        <f t="shared" si="2"/>
        <v>273.51</v>
      </c>
      <c r="M55" s="3"/>
      <c r="N55" s="7">
        <f t="shared" si="3"/>
        <v>0</v>
      </c>
      <c r="O55" s="12"/>
      <c r="P55" s="8">
        <v>2188.08</v>
      </c>
      <c r="Q55" s="3"/>
      <c r="R55" s="7">
        <f t="shared" si="4"/>
        <v>8.111907156611157E-4</v>
      </c>
      <c r="S55" s="3"/>
      <c r="T55" s="8"/>
      <c r="U55" s="3"/>
      <c r="V55" s="7">
        <f t="shared" si="5"/>
        <v>0</v>
      </c>
      <c r="W55" s="3"/>
      <c r="X55" s="8">
        <f t="shared" si="6"/>
        <v>2188.08</v>
      </c>
      <c r="Y55" s="3"/>
      <c r="Z55" s="7">
        <f t="shared" si="7"/>
        <v>0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4369.66</v>
      </c>
      <c r="E56" s="2"/>
      <c r="F56" s="6">
        <f t="shared" si="0"/>
        <v>9.559407832393783E-3</v>
      </c>
      <c r="G56" s="2"/>
      <c r="H56" s="2">
        <f>SUM(OSRRefH22_6x_0)</f>
        <v>6000</v>
      </c>
      <c r="I56" s="2"/>
      <c r="J56" s="6">
        <f t="shared" si="1"/>
        <v>1.3227513227513227E-2</v>
      </c>
      <c r="K56" s="2"/>
      <c r="L56" s="2">
        <f t="shared" si="2"/>
        <v>-1630.3400000000001</v>
      </c>
      <c r="M56" s="2"/>
      <c r="N56" s="6">
        <f t="shared" si="3"/>
        <v>-0.27172333333333337</v>
      </c>
      <c r="O56" s="14"/>
      <c r="P56" s="2">
        <f>SUM(OSRRefP22_6x_0)</f>
        <v>24813.43</v>
      </c>
      <c r="Q56" s="2"/>
      <c r="R56" s="6">
        <f t="shared" si="4"/>
        <v>9.1991261926926797E-3</v>
      </c>
      <c r="S56" s="2"/>
      <c r="T56" s="2">
        <f>SUM(OSRRefT22_6x_0)</f>
        <v>42000</v>
      </c>
      <c r="U56" s="2"/>
      <c r="V56" s="6">
        <f t="shared" si="5"/>
        <v>1.7169487368162865E-2</v>
      </c>
      <c r="W56" s="2"/>
      <c r="X56" s="2">
        <f t="shared" si="6"/>
        <v>-17186.57</v>
      </c>
      <c r="Y56" s="2"/>
      <c r="Z56" s="6">
        <f t="shared" si="7"/>
        <v>-0.40920404761904761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8">
        <v>4369.66</v>
      </c>
      <c r="E57" s="3"/>
      <c r="F57" s="7">
        <f t="shared" ref="F57:F87" si="8">IF(D$12=0,0,D57/D$12)</f>
        <v>9.559407832393783E-3</v>
      </c>
      <c r="G57" s="3"/>
      <c r="H57" s="8">
        <v>6000</v>
      </c>
      <c r="I57" s="3"/>
      <c r="J57" s="7">
        <f t="shared" ref="J57:J87" si="9">IF(H$12=0,0,H57/H$12)</f>
        <v>1.3227513227513227E-2</v>
      </c>
      <c r="K57" s="3"/>
      <c r="L57" s="8">
        <f t="shared" ref="L57:L87" si="10">+D57-H57</f>
        <v>-1630.3400000000001</v>
      </c>
      <c r="M57" s="3"/>
      <c r="N57" s="7">
        <f t="shared" ref="N57:N87" si="11">IF(H57=0,0,L57/H57)</f>
        <v>-0.27172333333333337</v>
      </c>
      <c r="O57" s="12"/>
      <c r="P57" s="8">
        <v>24813.43</v>
      </c>
      <c r="Q57" s="3"/>
      <c r="R57" s="7">
        <f t="shared" ref="R57:R87" si="12">IF(P$12=0,0,P57/P$12)</f>
        <v>9.1991261926926797E-3</v>
      </c>
      <c r="S57" s="3"/>
      <c r="T57" s="8">
        <v>42000</v>
      </c>
      <c r="U57" s="3"/>
      <c r="V57" s="7">
        <f t="shared" ref="V57:V87" si="13">IF(T$12=0,0,T57/T$12)</f>
        <v>1.7169487368162865E-2</v>
      </c>
      <c r="W57" s="3"/>
      <c r="X57" s="8">
        <f t="shared" ref="X57:X87" si="14">+P57-T57</f>
        <v>-17186.57</v>
      </c>
      <c r="Y57" s="3"/>
      <c r="Z57" s="7">
        <f t="shared" ref="Z57:Z87" si="15">IF(T57=0,0,X57/T57)</f>
        <v>-0.40920404761904761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SUM(OSRRefP22_7x_0)</f>
        <v>34.47</v>
      </c>
      <c r="Q58" s="2"/>
      <c r="R58" s="6">
        <f t="shared" si="12"/>
        <v>1.2779123235365552E-5</v>
      </c>
      <c r="S58" s="2"/>
      <c r="T58" s="2">
        <f>SUM(OSRRefT22_7x_0)</f>
        <v>500</v>
      </c>
      <c r="U58" s="2"/>
      <c r="V58" s="6">
        <f t="shared" si="13"/>
        <v>2.0439865914479601E-4</v>
      </c>
      <c r="W58" s="2"/>
      <c r="X58" s="2">
        <f t="shared" si="14"/>
        <v>-465.53</v>
      </c>
      <c r="Y58" s="2"/>
      <c r="Z58" s="6">
        <f t="shared" si="15"/>
        <v>-0.93106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34.47</v>
      </c>
      <c r="Q59" s="3"/>
      <c r="R59" s="7">
        <f t="shared" si="12"/>
        <v>1.2779123235365552E-5</v>
      </c>
      <c r="S59" s="3"/>
      <c r="T59" s="8">
        <v>500</v>
      </c>
      <c r="U59" s="3"/>
      <c r="V59" s="7">
        <f t="shared" si="13"/>
        <v>2.0439865914479601E-4</v>
      </c>
      <c r="W59" s="3"/>
      <c r="X59" s="8">
        <f t="shared" si="14"/>
        <v>-465.53</v>
      </c>
      <c r="Y59" s="3"/>
      <c r="Z59" s="7">
        <f t="shared" si="15"/>
        <v>-0.93106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93</v>
      </c>
      <c r="E60" s="2"/>
      <c r="F60" s="6">
        <f t="shared" si="8"/>
        <v>2.0345402809660747E-4</v>
      </c>
      <c r="G60" s="2"/>
      <c r="H60" s="2">
        <f>SUM(OSRRefH22_8x_0)</f>
        <v>500</v>
      </c>
      <c r="I60" s="2"/>
      <c r="J60" s="6">
        <f t="shared" si="9"/>
        <v>1.1022927689594356E-3</v>
      </c>
      <c r="K60" s="2"/>
      <c r="L60" s="2">
        <f t="shared" si="10"/>
        <v>-407</v>
      </c>
      <c r="M60" s="2"/>
      <c r="N60" s="6">
        <f t="shared" si="11"/>
        <v>-0.81399999999999995</v>
      </c>
      <c r="O60" s="14"/>
      <c r="P60" s="2">
        <f>SUM(OSRRefP22_8x_0)</f>
        <v>6532.74</v>
      </c>
      <c r="Q60" s="2"/>
      <c r="R60" s="6">
        <f t="shared" si="12"/>
        <v>2.4218940970293576E-3</v>
      </c>
      <c r="S60" s="2"/>
      <c r="T60" s="2">
        <f>SUM(OSRRefT22_8x_0)</f>
        <v>4000</v>
      </c>
      <c r="U60" s="2"/>
      <c r="V60" s="6">
        <f t="shared" si="13"/>
        <v>1.6351892731583681E-3</v>
      </c>
      <c r="W60" s="2"/>
      <c r="X60" s="2">
        <f t="shared" si="14"/>
        <v>2532.7399999999998</v>
      </c>
      <c r="Y60" s="2"/>
      <c r="Z60" s="6">
        <f t="shared" si="15"/>
        <v>0.633185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8">
        <v>93</v>
      </c>
      <c r="E61" s="3"/>
      <c r="F61" s="7">
        <f t="shared" si="8"/>
        <v>2.0345402809660747E-4</v>
      </c>
      <c r="G61" s="3"/>
      <c r="H61" s="8">
        <v>500</v>
      </c>
      <c r="I61" s="3"/>
      <c r="J61" s="7">
        <f t="shared" si="9"/>
        <v>1.1022927689594356E-3</v>
      </c>
      <c r="K61" s="3"/>
      <c r="L61" s="8">
        <f t="shared" si="10"/>
        <v>-407</v>
      </c>
      <c r="M61" s="3"/>
      <c r="N61" s="7">
        <f t="shared" si="11"/>
        <v>-0.81399999999999995</v>
      </c>
      <c r="O61" s="12"/>
      <c r="P61" s="8">
        <v>6532.74</v>
      </c>
      <c r="Q61" s="3"/>
      <c r="R61" s="7">
        <f t="shared" si="12"/>
        <v>2.4218940970293576E-3</v>
      </c>
      <c r="S61" s="3"/>
      <c r="T61" s="8">
        <v>4000</v>
      </c>
      <c r="U61" s="3"/>
      <c r="V61" s="7">
        <f t="shared" si="13"/>
        <v>1.6351892731583681E-3</v>
      </c>
      <c r="W61" s="3"/>
      <c r="X61" s="8">
        <f t="shared" si="14"/>
        <v>2532.7399999999998</v>
      </c>
      <c r="Y61" s="3"/>
      <c r="Z61" s="7">
        <f t="shared" si="15"/>
        <v>0.633185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0</v>
      </c>
      <c r="E62" s="2"/>
      <c r="F62" s="6">
        <f t="shared" si="8"/>
        <v>0</v>
      </c>
      <c r="G62" s="2"/>
      <c r="H62" s="2">
        <f>SUM(OSRRefH22_9x_0)</f>
        <v>150</v>
      </c>
      <c r="I62" s="2"/>
      <c r="J62" s="6">
        <f t="shared" si="9"/>
        <v>3.3068783068783067E-4</v>
      </c>
      <c r="K62" s="2"/>
      <c r="L62" s="2">
        <f t="shared" si="10"/>
        <v>-150</v>
      </c>
      <c r="M62" s="2"/>
      <c r="N62" s="6">
        <f t="shared" si="11"/>
        <v>-1</v>
      </c>
      <c r="O62" s="14"/>
      <c r="P62" s="2">
        <f>SUM(OSRRefP22_9x_0)</f>
        <v>8064.87</v>
      </c>
      <c r="Q62" s="2"/>
      <c r="R62" s="6">
        <f t="shared" si="12"/>
        <v>2.9899033248390653E-3</v>
      </c>
      <c r="S62" s="2"/>
      <c r="T62" s="2">
        <f>SUM(OSRRefT22_9x_0)</f>
        <v>2850</v>
      </c>
      <c r="U62" s="2"/>
      <c r="V62" s="6">
        <f t="shared" si="13"/>
        <v>1.1650723571253372E-3</v>
      </c>
      <c r="W62" s="2"/>
      <c r="X62" s="2">
        <f t="shared" si="14"/>
        <v>5214.87</v>
      </c>
      <c r="Y62" s="2"/>
      <c r="Z62" s="6">
        <f t="shared" si="15"/>
        <v>1.8297789473684209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8"/>
      <c r="E63" s="3"/>
      <c r="F63" s="7">
        <f t="shared" si="8"/>
        <v>0</v>
      </c>
      <c r="G63" s="3"/>
      <c r="H63" s="8">
        <v>150</v>
      </c>
      <c r="I63" s="3"/>
      <c r="J63" s="7">
        <f t="shared" si="9"/>
        <v>3.3068783068783067E-4</v>
      </c>
      <c r="K63" s="3"/>
      <c r="L63" s="8">
        <f t="shared" si="10"/>
        <v>-150</v>
      </c>
      <c r="M63" s="3"/>
      <c r="N63" s="7">
        <f t="shared" si="11"/>
        <v>-1</v>
      </c>
      <c r="O63" s="12"/>
      <c r="P63" s="8">
        <v>8064.87</v>
      </c>
      <c r="Q63" s="3"/>
      <c r="R63" s="7">
        <f t="shared" si="12"/>
        <v>2.9899033248390653E-3</v>
      </c>
      <c r="S63" s="3"/>
      <c r="T63" s="8">
        <v>2850</v>
      </c>
      <c r="U63" s="3"/>
      <c r="V63" s="7">
        <f t="shared" si="13"/>
        <v>1.1650723571253372E-3</v>
      </c>
      <c r="W63" s="3"/>
      <c r="X63" s="8">
        <f t="shared" si="14"/>
        <v>5214.87</v>
      </c>
      <c r="Y63" s="3"/>
      <c r="Z63" s="7">
        <f t="shared" si="15"/>
        <v>1.8297789473684209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35258.730000000003</v>
      </c>
      <c r="E64" s="2"/>
      <c r="F64" s="6">
        <f t="shared" si="8"/>
        <v>7.7134738108287068E-2</v>
      </c>
      <c r="G64" s="2"/>
      <c r="H64" s="2">
        <f>SUM(OSRRefH22_10x_0)</f>
        <v>36288</v>
      </c>
      <c r="I64" s="2"/>
      <c r="J64" s="6">
        <f t="shared" si="9"/>
        <v>0.08</v>
      </c>
      <c r="K64" s="2"/>
      <c r="L64" s="2">
        <f t="shared" si="10"/>
        <v>-1029.2699999999968</v>
      </c>
      <c r="M64" s="2"/>
      <c r="N64" s="6">
        <f t="shared" si="11"/>
        <v>-2.8363921957671869E-2</v>
      </c>
      <c r="O64" s="14"/>
      <c r="P64" s="2">
        <f>SUM(OSRRefP22_10x_0)</f>
        <v>208989.85</v>
      </c>
      <c r="Q64" s="2"/>
      <c r="R64" s="6">
        <f t="shared" si="12"/>
        <v>7.7479171688150897E-2</v>
      </c>
      <c r="S64" s="2"/>
      <c r="T64" s="2">
        <f>SUM(OSRRefT22_10x_0)</f>
        <v>195696</v>
      </c>
      <c r="U64" s="2"/>
      <c r="V64" s="6">
        <f t="shared" si="13"/>
        <v>0.08</v>
      </c>
      <c r="W64" s="2"/>
      <c r="X64" s="2">
        <f t="shared" si="14"/>
        <v>13293.850000000006</v>
      </c>
      <c r="Y64" s="2"/>
      <c r="Z64" s="6">
        <f t="shared" si="15"/>
        <v>6.7931127871801195E-2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8">
        <v>35258.730000000003</v>
      </c>
      <c r="E65" s="3"/>
      <c r="F65" s="7">
        <f t="shared" si="8"/>
        <v>7.7134738108287068E-2</v>
      </c>
      <c r="G65" s="3"/>
      <c r="H65" s="8">
        <v>36288</v>
      </c>
      <c r="I65" s="3"/>
      <c r="J65" s="7">
        <f t="shared" si="9"/>
        <v>0.08</v>
      </c>
      <c r="K65" s="3"/>
      <c r="L65" s="8">
        <f t="shared" si="10"/>
        <v>-1029.2699999999968</v>
      </c>
      <c r="M65" s="3"/>
      <c r="N65" s="7">
        <f t="shared" si="11"/>
        <v>-2.8363921957671869E-2</v>
      </c>
      <c r="O65" s="12"/>
      <c r="P65" s="8">
        <v>208989.85</v>
      </c>
      <c r="Q65" s="3"/>
      <c r="R65" s="7">
        <f t="shared" si="12"/>
        <v>7.7479171688150897E-2</v>
      </c>
      <c r="S65" s="3"/>
      <c r="T65" s="8">
        <v>195696</v>
      </c>
      <c r="U65" s="3"/>
      <c r="V65" s="7">
        <f t="shared" si="13"/>
        <v>0.08</v>
      </c>
      <c r="W65" s="3"/>
      <c r="X65" s="8">
        <f t="shared" si="14"/>
        <v>13293.850000000006</v>
      </c>
      <c r="Y65" s="3"/>
      <c r="Z65" s="7">
        <f t="shared" si="15"/>
        <v>6.7931127871801195E-2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0</v>
      </c>
      <c r="E66" s="2"/>
      <c r="F66" s="6">
        <f t="shared" si="8"/>
        <v>0</v>
      </c>
      <c r="G66" s="2"/>
      <c r="H66" s="2">
        <f>SUM(OSRRefH22_11x_0)</f>
        <v>2050</v>
      </c>
      <c r="I66" s="2"/>
      <c r="J66" s="6">
        <f t="shared" si="9"/>
        <v>4.5194003527336858E-3</v>
      </c>
      <c r="K66" s="2"/>
      <c r="L66" s="2">
        <f t="shared" si="10"/>
        <v>-2050</v>
      </c>
      <c r="M66" s="2"/>
      <c r="N66" s="6">
        <f t="shared" si="11"/>
        <v>-1</v>
      </c>
      <c r="O66" s="14"/>
      <c r="P66" s="2">
        <f>SUM(OSRRefP22_11x_0)</f>
        <v>2702.5499999999997</v>
      </c>
      <c r="Q66" s="2"/>
      <c r="R66" s="6">
        <f t="shared" si="12"/>
        <v>1.0019210762906056E-3</v>
      </c>
      <c r="S66" s="2"/>
      <c r="T66" s="2">
        <f>SUM(OSRRefT22_11x_0)</f>
        <v>7400</v>
      </c>
      <c r="U66" s="2"/>
      <c r="V66" s="6">
        <f t="shared" si="13"/>
        <v>3.0251001553429809E-3</v>
      </c>
      <c r="W66" s="2"/>
      <c r="X66" s="2">
        <f t="shared" si="14"/>
        <v>-4697.4500000000007</v>
      </c>
      <c r="Y66" s="2"/>
      <c r="Z66" s="6">
        <f t="shared" si="15"/>
        <v>-0.63479054054054063</v>
      </c>
    </row>
    <row r="67" spans="1:26" s="70" customFormat="1" ht="15" hidden="1" customHeight="1" outlineLevel="2" x14ac:dyDescent="0.3">
      <c r="A67" s="26"/>
      <c r="B67" s="12" t="str">
        <f>CONCATENATE("          ","6371"," - ","COMPUTER SOFTWARE MAINTENANCE")</f>
        <v xml:space="preserve">          6371 - COMPUTER SOFTWARE MAINTENANCE</v>
      </c>
      <c r="C67" s="12"/>
      <c r="D67" s="8"/>
      <c r="E67" s="3"/>
      <c r="F67" s="7">
        <f t="shared" si="8"/>
        <v>0</v>
      </c>
      <c r="G67" s="3"/>
      <c r="H67" s="8">
        <v>0</v>
      </c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/>
      <c r="Q67" s="3"/>
      <c r="R67" s="7">
        <f t="shared" si="12"/>
        <v>0</v>
      </c>
      <c r="S67" s="3"/>
      <c r="T67" s="8">
        <v>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8"/>
      <c r="E68" s="3"/>
      <c r="F68" s="7">
        <f t="shared" si="8"/>
        <v>0</v>
      </c>
      <c r="G68" s="3"/>
      <c r="H68" s="8">
        <v>1800</v>
      </c>
      <c r="I68" s="3"/>
      <c r="J68" s="7">
        <f t="shared" si="9"/>
        <v>3.968253968253968E-3</v>
      </c>
      <c r="K68" s="3"/>
      <c r="L68" s="8">
        <f t="shared" si="10"/>
        <v>-1800</v>
      </c>
      <c r="M68" s="3"/>
      <c r="N68" s="7">
        <f t="shared" si="11"/>
        <v>-1</v>
      </c>
      <c r="O68" s="12"/>
      <c r="P68" s="8">
        <v>190.2</v>
      </c>
      <c r="Q68" s="3"/>
      <c r="R68" s="7">
        <f t="shared" si="12"/>
        <v>7.0513177817421751E-5</v>
      </c>
      <c r="S68" s="3"/>
      <c r="T68" s="8">
        <v>5400</v>
      </c>
      <c r="U68" s="3"/>
      <c r="V68" s="7">
        <f t="shared" si="13"/>
        <v>2.2075055187637969E-3</v>
      </c>
      <c r="W68" s="3"/>
      <c r="X68" s="8">
        <f t="shared" si="14"/>
        <v>-5209.8</v>
      </c>
      <c r="Y68" s="3"/>
      <c r="Z68" s="7">
        <f t="shared" si="15"/>
        <v>-0.96477777777777785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8"/>
      <c r="E69" s="3"/>
      <c r="F69" s="7">
        <f t="shared" si="8"/>
        <v>0</v>
      </c>
      <c r="G69" s="3"/>
      <c r="H69" s="8">
        <v>250</v>
      </c>
      <c r="I69" s="3"/>
      <c r="J69" s="7">
        <f t="shared" si="9"/>
        <v>5.5114638447971778E-4</v>
      </c>
      <c r="K69" s="3"/>
      <c r="L69" s="8">
        <f t="shared" si="10"/>
        <v>-250</v>
      </c>
      <c r="M69" s="3"/>
      <c r="N69" s="7">
        <f t="shared" si="11"/>
        <v>-1</v>
      </c>
      <c r="O69" s="12"/>
      <c r="P69" s="8">
        <v>2512.35</v>
      </c>
      <c r="Q69" s="3"/>
      <c r="R69" s="7">
        <f t="shared" si="12"/>
        <v>9.3140789847318375E-4</v>
      </c>
      <c r="S69" s="3"/>
      <c r="T69" s="8">
        <v>2000</v>
      </c>
      <c r="U69" s="3"/>
      <c r="V69" s="7">
        <f t="shared" si="13"/>
        <v>8.1759463657918405E-4</v>
      </c>
      <c r="W69" s="3"/>
      <c r="X69" s="8">
        <f t="shared" si="14"/>
        <v>512.34999999999991</v>
      </c>
      <c r="Y69" s="3"/>
      <c r="Z69" s="7">
        <f t="shared" si="15"/>
        <v>0.25617499999999993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6287.49</v>
      </c>
      <c r="E70" s="2"/>
      <c r="F70" s="6">
        <f t="shared" si="8"/>
        <v>1.3755001796958479E-2</v>
      </c>
      <c r="G70" s="2"/>
      <c r="H70" s="2">
        <f>SUM(OSRRefH22_12x_0)</f>
        <v>7150</v>
      </c>
      <c r="I70" s="2"/>
      <c r="J70" s="6">
        <f t="shared" si="9"/>
        <v>1.5762786596119929E-2</v>
      </c>
      <c r="K70" s="2"/>
      <c r="L70" s="2">
        <f t="shared" si="10"/>
        <v>-862.51000000000022</v>
      </c>
      <c r="M70" s="2"/>
      <c r="N70" s="6">
        <f t="shared" si="11"/>
        <v>-0.12063076923076926</v>
      </c>
      <c r="O70" s="14"/>
      <c r="P70" s="2">
        <f>SUM(OSRRefP22_12x_0)</f>
        <v>44161.759999999995</v>
      </c>
      <c r="Q70" s="2"/>
      <c r="R70" s="6">
        <f t="shared" si="12"/>
        <v>1.6372166328129881E-2</v>
      </c>
      <c r="S70" s="2"/>
      <c r="T70" s="2">
        <f>SUM(OSRRefT22_12x_0)</f>
        <v>57200</v>
      </c>
      <c r="U70" s="2"/>
      <c r="V70" s="6">
        <f t="shared" si="13"/>
        <v>2.3383206606164664E-2</v>
      </c>
      <c r="W70" s="2"/>
      <c r="X70" s="2">
        <f t="shared" si="14"/>
        <v>-13038.240000000005</v>
      </c>
      <c r="Y70" s="2"/>
      <c r="Z70" s="6">
        <f t="shared" si="15"/>
        <v>-0.22794125874125884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8">
        <v>454.95</v>
      </c>
      <c r="E71" s="3"/>
      <c r="F71" s="7">
        <f t="shared" si="8"/>
        <v>9.9528397938227495E-4</v>
      </c>
      <c r="G71" s="3"/>
      <c r="H71" s="8">
        <v>450</v>
      </c>
      <c r="I71" s="3"/>
      <c r="J71" s="7">
        <f t="shared" si="9"/>
        <v>9.9206349206349201E-4</v>
      </c>
      <c r="K71" s="3"/>
      <c r="L71" s="8">
        <f t="shared" si="10"/>
        <v>4.9499999999999886</v>
      </c>
      <c r="M71" s="3"/>
      <c r="N71" s="7">
        <f t="shared" si="11"/>
        <v>1.0999999999999975E-2</v>
      </c>
      <c r="O71" s="12"/>
      <c r="P71" s="8">
        <v>3414.02</v>
      </c>
      <c r="Q71" s="3"/>
      <c r="R71" s="7">
        <f t="shared" si="12"/>
        <v>1.2656855906006007E-3</v>
      </c>
      <c r="S71" s="3"/>
      <c r="T71" s="8">
        <v>3600</v>
      </c>
      <c r="U71" s="3"/>
      <c r="V71" s="7">
        <f t="shared" si="13"/>
        <v>1.4716703458425313E-3</v>
      </c>
      <c r="W71" s="3"/>
      <c r="X71" s="8">
        <f t="shared" si="14"/>
        <v>-185.98000000000002</v>
      </c>
      <c r="Y71" s="3"/>
      <c r="Z71" s="7">
        <f t="shared" si="15"/>
        <v>-5.1661111111111116E-2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8"/>
      <c r="E72" s="3"/>
      <c r="F72" s="7">
        <f t="shared" si="8"/>
        <v>0</v>
      </c>
      <c r="G72" s="3"/>
      <c r="H72" s="8">
        <v>500</v>
      </c>
      <c r="I72" s="3"/>
      <c r="J72" s="7">
        <f t="shared" si="9"/>
        <v>1.1022927689594356E-3</v>
      </c>
      <c r="K72" s="3"/>
      <c r="L72" s="8">
        <f t="shared" si="10"/>
        <v>-500</v>
      </c>
      <c r="M72" s="3"/>
      <c r="N72" s="7">
        <f t="shared" si="11"/>
        <v>-1</v>
      </c>
      <c r="O72" s="12"/>
      <c r="P72" s="8"/>
      <c r="Q72" s="3"/>
      <c r="R72" s="7">
        <f t="shared" si="12"/>
        <v>0</v>
      </c>
      <c r="S72" s="3"/>
      <c r="T72" s="8">
        <v>4000</v>
      </c>
      <c r="U72" s="3"/>
      <c r="V72" s="7">
        <f t="shared" si="13"/>
        <v>1.6351892731583681E-3</v>
      </c>
      <c r="W72" s="3"/>
      <c r="X72" s="8">
        <f t="shared" si="14"/>
        <v>-4000</v>
      </c>
      <c r="Y72" s="3"/>
      <c r="Z72" s="7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8">
        <v>4428.8599999999997</v>
      </c>
      <c r="E73" s="3"/>
      <c r="F73" s="7">
        <f t="shared" si="8"/>
        <v>9.6889183535047423E-3</v>
      </c>
      <c r="G73" s="3"/>
      <c r="H73" s="8">
        <v>4700</v>
      </c>
      <c r="I73" s="3"/>
      <c r="J73" s="7">
        <f t="shared" si="9"/>
        <v>1.0361552028218694E-2</v>
      </c>
      <c r="K73" s="3"/>
      <c r="L73" s="8">
        <f t="shared" si="10"/>
        <v>-271.14000000000033</v>
      </c>
      <c r="M73" s="3"/>
      <c r="N73" s="7">
        <f t="shared" si="11"/>
        <v>-5.7689361702127732E-2</v>
      </c>
      <c r="O73" s="12"/>
      <c r="P73" s="8">
        <v>35913.879999999997</v>
      </c>
      <c r="Q73" s="3"/>
      <c r="R73" s="7">
        <f t="shared" si="12"/>
        <v>1.3314415386716861E-2</v>
      </c>
      <c r="S73" s="3"/>
      <c r="T73" s="8">
        <v>37600</v>
      </c>
      <c r="U73" s="3"/>
      <c r="V73" s="7">
        <f t="shared" si="13"/>
        <v>1.5370779167688659E-2</v>
      </c>
      <c r="W73" s="3"/>
      <c r="X73" s="8">
        <f t="shared" si="14"/>
        <v>-1686.1200000000026</v>
      </c>
      <c r="Y73" s="3"/>
      <c r="Z73" s="7">
        <f t="shared" si="15"/>
        <v>-4.4843617021276663E-2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8">
        <v>1403.68</v>
      </c>
      <c r="E74" s="3"/>
      <c r="F74" s="7">
        <f t="shared" si="8"/>
        <v>3.0707994640714626E-3</v>
      </c>
      <c r="G74" s="3"/>
      <c r="H74" s="8">
        <v>1500</v>
      </c>
      <c r="I74" s="3"/>
      <c r="J74" s="7">
        <f t="shared" si="9"/>
        <v>3.3068783068783067E-3</v>
      </c>
      <c r="K74" s="3"/>
      <c r="L74" s="8">
        <f t="shared" si="10"/>
        <v>-96.319999999999936</v>
      </c>
      <c r="M74" s="3"/>
      <c r="N74" s="7">
        <f t="shared" si="11"/>
        <v>-6.4213333333333289E-2</v>
      </c>
      <c r="O74" s="12"/>
      <c r="P74" s="8">
        <v>4833.8599999999997</v>
      </c>
      <c r="Q74" s="3"/>
      <c r="R74" s="7">
        <f t="shared" si="12"/>
        <v>1.7920653508124201E-3</v>
      </c>
      <c r="S74" s="3"/>
      <c r="T74" s="8">
        <v>12000</v>
      </c>
      <c r="U74" s="3"/>
      <c r="V74" s="7">
        <f t="shared" si="13"/>
        <v>4.9055678194751045E-3</v>
      </c>
      <c r="W74" s="3"/>
      <c r="X74" s="8">
        <f t="shared" si="14"/>
        <v>-7166.14</v>
      </c>
      <c r="Y74" s="3"/>
      <c r="Z74" s="7">
        <f t="shared" si="15"/>
        <v>-0.59717833333333337</v>
      </c>
    </row>
    <row r="75" spans="1:26" s="69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5760.6</v>
      </c>
      <c r="E75" s="2"/>
      <c r="F75" s="6">
        <f t="shared" si="8"/>
        <v>1.2602336282293732E-2</v>
      </c>
      <c r="G75" s="2"/>
      <c r="H75" s="2">
        <f>SUM(OSRRefH22_13x_0)</f>
        <v>11396</v>
      </c>
      <c r="I75" s="2"/>
      <c r="J75" s="6">
        <f t="shared" si="9"/>
        <v>2.5123456790123455E-2</v>
      </c>
      <c r="K75" s="2"/>
      <c r="L75" s="2">
        <f t="shared" si="10"/>
        <v>-5635.4</v>
      </c>
      <c r="M75" s="2"/>
      <c r="N75" s="6">
        <f t="shared" si="11"/>
        <v>-0.49450684450684446</v>
      </c>
      <c r="O75" s="14"/>
      <c r="P75" s="2">
        <f>SUM(OSRRefP22_13x_0)</f>
        <v>55720.73</v>
      </c>
      <c r="Q75" s="2"/>
      <c r="R75" s="6">
        <f t="shared" si="12"/>
        <v>2.0657443441674802E-2</v>
      </c>
      <c r="S75" s="2"/>
      <c r="T75" s="2">
        <f>SUM(OSRRefT22_13x_0)</f>
        <v>91168</v>
      </c>
      <c r="U75" s="2"/>
      <c r="V75" s="6">
        <f t="shared" si="13"/>
        <v>3.7269233913825528E-2</v>
      </c>
      <c r="W75" s="2"/>
      <c r="X75" s="2">
        <f t="shared" si="14"/>
        <v>-35447.269999999997</v>
      </c>
      <c r="Y75" s="2"/>
      <c r="Z75" s="6">
        <f t="shared" si="15"/>
        <v>-0.38881263162513158</v>
      </c>
    </row>
    <row r="76" spans="1:26" s="70" customFormat="1" ht="15" hidden="1" customHeight="1" outlineLevel="2" x14ac:dyDescent="0.3">
      <c r="A76" s="26"/>
      <c r="B76" s="12" t="str">
        <f>CONCATENATE("          ","6234"," - ","EXPENDABLE SUPPLIES &amp; EQUIPMEN")</f>
        <v xml:space="preserve">          6234 - EXPENDABLE SUPPLIES &amp; EQUIPMEN</v>
      </c>
      <c r="C76" s="12"/>
      <c r="D76" s="8"/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0</v>
      </c>
      <c r="M76" s="3"/>
      <c r="N76" s="7">
        <f t="shared" si="11"/>
        <v>0</v>
      </c>
      <c r="O76" s="12"/>
      <c r="P76" s="8">
        <v>21.98</v>
      </c>
      <c r="Q76" s="3"/>
      <c r="R76" s="7">
        <f t="shared" si="12"/>
        <v>8.1486837456726096E-6</v>
      </c>
      <c r="S76" s="3"/>
      <c r="T76" s="8"/>
      <c r="U76" s="3"/>
      <c r="V76" s="7">
        <f t="shared" si="13"/>
        <v>0</v>
      </c>
      <c r="W76" s="3"/>
      <c r="X76" s="8">
        <f t="shared" si="14"/>
        <v>21.98</v>
      </c>
      <c r="Y76" s="3"/>
      <c r="Z76" s="7">
        <f t="shared" si="15"/>
        <v>0</v>
      </c>
    </row>
    <row r="77" spans="1:26" s="70" customFormat="1" ht="15" hidden="1" customHeight="1" outlineLevel="2" x14ac:dyDescent="0.3">
      <c r="A77" s="26"/>
      <c r="B77" s="12" t="str">
        <f>CONCATENATE("          ","6237"," - ","JANITORIAL SUPPLIES")</f>
        <v xml:space="preserve">          6237 - JANITORIAL SUPPLIES</v>
      </c>
      <c r="C77" s="12"/>
      <c r="D77" s="8"/>
      <c r="E77" s="3"/>
      <c r="F77" s="7">
        <f t="shared" si="8"/>
        <v>0</v>
      </c>
      <c r="G77" s="3"/>
      <c r="H77" s="8">
        <v>4000</v>
      </c>
      <c r="I77" s="3"/>
      <c r="J77" s="7">
        <f t="shared" si="9"/>
        <v>8.8183421516754845E-3</v>
      </c>
      <c r="K77" s="3"/>
      <c r="L77" s="8">
        <f t="shared" si="10"/>
        <v>-4000</v>
      </c>
      <c r="M77" s="3"/>
      <c r="N77" s="7">
        <f t="shared" si="11"/>
        <v>-1</v>
      </c>
      <c r="O77" s="12"/>
      <c r="P77" s="8">
        <v>9095.82</v>
      </c>
      <c r="Q77" s="3"/>
      <c r="R77" s="7">
        <f t="shared" si="12"/>
        <v>3.372109216904633E-3</v>
      </c>
      <c r="S77" s="3"/>
      <c r="T77" s="8">
        <v>32000</v>
      </c>
      <c r="U77" s="3"/>
      <c r="V77" s="7">
        <f t="shared" si="13"/>
        <v>1.3081514185266945E-2</v>
      </c>
      <c r="W77" s="3"/>
      <c r="X77" s="8">
        <f t="shared" si="14"/>
        <v>-22904.18</v>
      </c>
      <c r="Y77" s="3"/>
      <c r="Z77" s="7">
        <f t="shared" si="15"/>
        <v>-0.71575562500000001</v>
      </c>
    </row>
    <row r="78" spans="1:26" s="70" customFormat="1" ht="15" hidden="1" customHeight="1" outlineLevel="2" x14ac:dyDescent="0.3">
      <c r="A78" s="26"/>
      <c r="B78" s="12" t="str">
        <f>CONCATENATE("          ","6239"," - ","KITCHEN SUPPLIES")</f>
        <v xml:space="preserve">          6239 - KITCHEN SUPPLIES</v>
      </c>
      <c r="C78" s="12"/>
      <c r="D78" s="8">
        <v>966</v>
      </c>
      <c r="E78" s="3"/>
      <c r="F78" s="7">
        <f t="shared" si="8"/>
        <v>2.1132966789389552E-3</v>
      </c>
      <c r="G78" s="3"/>
      <c r="H78" s="8">
        <v>1500</v>
      </c>
      <c r="I78" s="3"/>
      <c r="J78" s="7">
        <f t="shared" si="9"/>
        <v>3.3068783068783067E-3</v>
      </c>
      <c r="K78" s="3"/>
      <c r="L78" s="8">
        <f t="shared" si="10"/>
        <v>-534</v>
      </c>
      <c r="M78" s="3"/>
      <c r="N78" s="7">
        <f t="shared" si="11"/>
        <v>-0.35599999999999998</v>
      </c>
      <c r="O78" s="12"/>
      <c r="P78" s="8">
        <v>7791.59</v>
      </c>
      <c r="Q78" s="3"/>
      <c r="R78" s="7">
        <f t="shared" si="12"/>
        <v>2.8885897536826775E-3</v>
      </c>
      <c r="S78" s="3"/>
      <c r="T78" s="8">
        <v>12000</v>
      </c>
      <c r="U78" s="3"/>
      <c r="V78" s="7">
        <f t="shared" si="13"/>
        <v>4.9055678194751045E-3</v>
      </c>
      <c r="W78" s="3"/>
      <c r="X78" s="8">
        <f t="shared" si="14"/>
        <v>-4208.41</v>
      </c>
      <c r="Y78" s="3"/>
      <c r="Z78" s="7">
        <f t="shared" si="15"/>
        <v>-0.3507008333333333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8">
        <v>302.72000000000003</v>
      </c>
      <c r="E79" s="3"/>
      <c r="F79" s="7">
        <f t="shared" si="8"/>
        <v>6.6225379984306474E-4</v>
      </c>
      <c r="G79" s="3"/>
      <c r="H79" s="8">
        <v>500</v>
      </c>
      <c r="I79" s="3"/>
      <c r="J79" s="7">
        <f t="shared" si="9"/>
        <v>1.1022927689594356E-3</v>
      </c>
      <c r="K79" s="3"/>
      <c r="L79" s="8">
        <f t="shared" si="10"/>
        <v>-197.27999999999997</v>
      </c>
      <c r="M79" s="3"/>
      <c r="N79" s="7">
        <f t="shared" si="11"/>
        <v>-0.39455999999999997</v>
      </c>
      <c r="O79" s="12"/>
      <c r="P79" s="8">
        <v>3583.99</v>
      </c>
      <c r="Q79" s="3"/>
      <c r="R79" s="7">
        <f t="shared" si="12"/>
        <v>1.3286988652253492E-3</v>
      </c>
      <c r="S79" s="3"/>
      <c r="T79" s="8">
        <v>4000</v>
      </c>
      <c r="U79" s="3"/>
      <c r="V79" s="7">
        <f t="shared" si="13"/>
        <v>1.6351892731583681E-3</v>
      </c>
      <c r="W79" s="3"/>
      <c r="X79" s="8">
        <f t="shared" si="14"/>
        <v>-416.01000000000022</v>
      </c>
      <c r="Y79" s="3"/>
      <c r="Z79" s="7">
        <f t="shared" si="15"/>
        <v>-0.10400250000000005</v>
      </c>
    </row>
    <row r="80" spans="1:26" s="70" customFormat="1" ht="15" hidden="1" customHeight="1" outlineLevel="2" x14ac:dyDescent="0.3">
      <c r="A80" s="26"/>
      <c r="B80" s="12" t="str">
        <f>CONCATENATE("          ","6243"," - ","PAPER SUPPLIES")</f>
        <v xml:space="preserve">          6243 - PAPER SUPPLIES</v>
      </c>
      <c r="C80" s="12"/>
      <c r="D80" s="8">
        <v>4197.7700000000004</v>
      </c>
      <c r="E80" s="3"/>
      <c r="F80" s="7">
        <f t="shared" si="8"/>
        <v>9.1833679088504962E-3</v>
      </c>
      <c r="G80" s="3"/>
      <c r="H80" s="8">
        <v>5000</v>
      </c>
      <c r="I80" s="3"/>
      <c r="J80" s="7">
        <f t="shared" si="9"/>
        <v>1.1022927689594356E-2</v>
      </c>
      <c r="K80" s="3"/>
      <c r="L80" s="8">
        <f t="shared" si="10"/>
        <v>-802.22999999999956</v>
      </c>
      <c r="M80" s="3"/>
      <c r="N80" s="7">
        <f t="shared" si="11"/>
        <v>-0.16044599999999992</v>
      </c>
      <c r="O80" s="12"/>
      <c r="P80" s="8">
        <v>32854.910000000003</v>
      </c>
      <c r="Q80" s="3"/>
      <c r="R80" s="7">
        <f t="shared" si="12"/>
        <v>1.2180358102026228E-2</v>
      </c>
      <c r="S80" s="3"/>
      <c r="T80" s="8">
        <v>40000</v>
      </c>
      <c r="U80" s="3"/>
      <c r="V80" s="7">
        <f t="shared" si="13"/>
        <v>1.6351892731583682E-2</v>
      </c>
      <c r="W80" s="3"/>
      <c r="X80" s="8">
        <f t="shared" si="14"/>
        <v>-7145.0899999999965</v>
      </c>
      <c r="Y80" s="3"/>
      <c r="Z80" s="7">
        <f t="shared" si="15"/>
        <v>-0.1786272499999999</v>
      </c>
    </row>
    <row r="81" spans="1:26" s="70" customFormat="1" ht="15" hidden="1" customHeight="1" outlineLevel="2" x14ac:dyDescent="0.3">
      <c r="A81" s="26"/>
      <c r="B81" s="12" t="str">
        <f>CONCATENATE("          ","6244"," - ","SAFETY SUPPLY EXPENSE")</f>
        <v xml:space="preserve">          6244 - SAFETY SUPPLY EXPENSE</v>
      </c>
      <c r="C81" s="12"/>
      <c r="D81" s="8"/>
      <c r="E81" s="3"/>
      <c r="F81" s="7">
        <f t="shared" si="8"/>
        <v>0</v>
      </c>
      <c r="G81" s="3"/>
      <c r="H81" s="8">
        <v>200</v>
      </c>
      <c r="I81" s="3"/>
      <c r="J81" s="7">
        <f t="shared" si="9"/>
        <v>4.4091710758377423E-4</v>
      </c>
      <c r="K81" s="3"/>
      <c r="L81" s="8">
        <f t="shared" si="10"/>
        <v>-200</v>
      </c>
      <c r="M81" s="3"/>
      <c r="N81" s="7">
        <f t="shared" si="11"/>
        <v>-1</v>
      </c>
      <c r="O81" s="12"/>
      <c r="P81" s="8"/>
      <c r="Q81" s="3"/>
      <c r="R81" s="7">
        <f t="shared" si="12"/>
        <v>0</v>
      </c>
      <c r="S81" s="3"/>
      <c r="T81" s="8">
        <v>1600</v>
      </c>
      <c r="U81" s="3"/>
      <c r="V81" s="7">
        <f t="shared" si="13"/>
        <v>6.5407570926334722E-4</v>
      </c>
      <c r="W81" s="3"/>
      <c r="X81" s="8">
        <f t="shared" si="14"/>
        <v>-1600</v>
      </c>
      <c r="Y81" s="3"/>
      <c r="Z81" s="7">
        <f t="shared" si="15"/>
        <v>-1</v>
      </c>
    </row>
    <row r="82" spans="1:26" s="70" customFormat="1" ht="15" hidden="1" customHeight="1" outlineLevel="2" x14ac:dyDescent="0.3">
      <c r="A82" s="26"/>
      <c r="B82" s="12" t="str">
        <f>CONCATENATE("          ","6247"," - ","STORE SUPPLIES")</f>
        <v xml:space="preserve">          6247 - STORE SUPPLIES</v>
      </c>
      <c r="C82" s="12"/>
      <c r="D82" s="8">
        <v>294.11</v>
      </c>
      <c r="E82" s="3"/>
      <c r="F82" s="7">
        <f t="shared" si="8"/>
        <v>6.4341789466121747E-4</v>
      </c>
      <c r="G82" s="3"/>
      <c r="H82" s="8"/>
      <c r="I82" s="3"/>
      <c r="J82" s="7">
        <f t="shared" si="9"/>
        <v>0</v>
      </c>
      <c r="K82" s="3"/>
      <c r="L82" s="8">
        <f t="shared" si="10"/>
        <v>294.11</v>
      </c>
      <c r="M82" s="3"/>
      <c r="N82" s="7">
        <f t="shared" si="11"/>
        <v>0</v>
      </c>
      <c r="O82" s="12"/>
      <c r="P82" s="8">
        <v>502.04</v>
      </c>
      <c r="Q82" s="3"/>
      <c r="R82" s="7">
        <f t="shared" si="12"/>
        <v>1.8612216504447119E-4</v>
      </c>
      <c r="S82" s="3"/>
      <c r="T82" s="8"/>
      <c r="U82" s="3"/>
      <c r="V82" s="7">
        <f t="shared" si="13"/>
        <v>0</v>
      </c>
      <c r="W82" s="3"/>
      <c r="X82" s="8">
        <f t="shared" si="14"/>
        <v>502.04</v>
      </c>
      <c r="Y82" s="3"/>
      <c r="Z82" s="7">
        <f t="shared" si="15"/>
        <v>0</v>
      </c>
    </row>
    <row r="83" spans="1:26" s="70" customFormat="1" ht="15" hidden="1" customHeight="1" outlineLevel="2" x14ac:dyDescent="0.3">
      <c r="A83" s="26"/>
      <c r="B83" s="12" t="str">
        <f>CONCATENATE("          ","6248"," - ","UNIFORMS")</f>
        <v xml:space="preserve">          6248 - UNIFORMS</v>
      </c>
      <c r="C83" s="12"/>
      <c r="D83" s="8"/>
      <c r="E83" s="3"/>
      <c r="F83" s="7">
        <f t="shared" si="8"/>
        <v>0</v>
      </c>
      <c r="G83" s="3"/>
      <c r="H83" s="8">
        <v>196</v>
      </c>
      <c r="I83" s="3"/>
      <c r="J83" s="7">
        <f t="shared" si="9"/>
        <v>4.3209876543209879E-4</v>
      </c>
      <c r="K83" s="3"/>
      <c r="L83" s="8">
        <f t="shared" si="10"/>
        <v>-196</v>
      </c>
      <c r="M83" s="3"/>
      <c r="N83" s="7">
        <f t="shared" si="11"/>
        <v>-1</v>
      </c>
      <c r="O83" s="12"/>
      <c r="P83" s="8">
        <v>1870.4</v>
      </c>
      <c r="Q83" s="3"/>
      <c r="R83" s="7">
        <f t="shared" si="12"/>
        <v>6.9341665504577118E-4</v>
      </c>
      <c r="S83" s="3"/>
      <c r="T83" s="8">
        <v>1568</v>
      </c>
      <c r="U83" s="3"/>
      <c r="V83" s="7">
        <f t="shared" si="13"/>
        <v>6.409941950780803E-4</v>
      </c>
      <c r="W83" s="3"/>
      <c r="X83" s="8">
        <f t="shared" si="14"/>
        <v>302.40000000000009</v>
      </c>
      <c r="Y83" s="3"/>
      <c r="Z83" s="7">
        <f t="shared" si="15"/>
        <v>0.19285714285714292</v>
      </c>
    </row>
    <row r="84" spans="1:26" s="69" customFormat="1" ht="15" customHeight="1" outlineLevel="1" collapsed="1" x14ac:dyDescent="0.3">
      <c r="A84" s="25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SUM(OSRRefD22_14x_0)</f>
        <v>164</v>
      </c>
      <c r="E84" s="2"/>
      <c r="F84" s="6">
        <f t="shared" si="8"/>
        <v>3.5877914632089923E-4</v>
      </c>
      <c r="G84" s="2"/>
      <c r="H84" s="2">
        <f>SUM(OSRRefH22_14x_0)</f>
        <v>175</v>
      </c>
      <c r="I84" s="2"/>
      <c r="J84" s="6">
        <f t="shared" si="9"/>
        <v>3.8580246913580245E-4</v>
      </c>
      <c r="K84" s="2"/>
      <c r="L84" s="2">
        <f t="shared" si="10"/>
        <v>-11</v>
      </c>
      <c r="M84" s="2"/>
      <c r="N84" s="6">
        <f t="shared" si="11"/>
        <v>-6.2857142857142861E-2</v>
      </c>
      <c r="O84" s="14"/>
      <c r="P84" s="2">
        <f>SUM(OSRRefP22_14x_0)</f>
        <v>1612</v>
      </c>
      <c r="Q84" s="2"/>
      <c r="R84" s="6">
        <f t="shared" si="12"/>
        <v>5.976195722486008E-4</v>
      </c>
      <c r="S84" s="2"/>
      <c r="T84" s="2">
        <f>SUM(OSRRefT22_14x_0)</f>
        <v>1400</v>
      </c>
      <c r="U84" s="2"/>
      <c r="V84" s="6">
        <f t="shared" si="13"/>
        <v>5.723162456054288E-4</v>
      </c>
      <c r="W84" s="2"/>
      <c r="X84" s="2">
        <f t="shared" si="14"/>
        <v>212</v>
      </c>
      <c r="Y84" s="2"/>
      <c r="Z84" s="6">
        <f t="shared" si="15"/>
        <v>0.15142857142857144</v>
      </c>
    </row>
    <row r="85" spans="1:26" s="70" customFormat="1" ht="15" hidden="1" customHeight="1" outlineLevel="2" x14ac:dyDescent="0.3">
      <c r="A85" s="26"/>
      <c r="B85" s="12" t="str">
        <f>CONCATENATE("          ","6309"," - ","TELEPHONE")</f>
        <v xml:space="preserve">          6309 - TELEPHONE</v>
      </c>
      <c r="C85" s="12"/>
      <c r="D85" s="8">
        <v>164</v>
      </c>
      <c r="E85" s="3"/>
      <c r="F85" s="7">
        <f t="shared" si="8"/>
        <v>3.5877914632089923E-4</v>
      </c>
      <c r="G85" s="3"/>
      <c r="H85" s="8">
        <v>175</v>
      </c>
      <c r="I85" s="3"/>
      <c r="J85" s="7">
        <f t="shared" si="9"/>
        <v>3.8580246913580245E-4</v>
      </c>
      <c r="K85" s="3"/>
      <c r="L85" s="8">
        <f t="shared" si="10"/>
        <v>-11</v>
      </c>
      <c r="M85" s="3"/>
      <c r="N85" s="7">
        <f t="shared" si="11"/>
        <v>-6.2857142857142861E-2</v>
      </c>
      <c r="O85" s="12"/>
      <c r="P85" s="8">
        <v>1612</v>
      </c>
      <c r="Q85" s="3"/>
      <c r="R85" s="7">
        <f t="shared" si="12"/>
        <v>5.976195722486008E-4</v>
      </c>
      <c r="S85" s="3"/>
      <c r="T85" s="8">
        <v>1400</v>
      </c>
      <c r="U85" s="3"/>
      <c r="V85" s="7">
        <f t="shared" si="13"/>
        <v>5.723162456054288E-4</v>
      </c>
      <c r="W85" s="3"/>
      <c r="X85" s="8">
        <f t="shared" si="14"/>
        <v>212</v>
      </c>
      <c r="Y85" s="3"/>
      <c r="Z85" s="7">
        <f t="shared" si="15"/>
        <v>0.15142857142857144</v>
      </c>
    </row>
    <row r="86" spans="1:26" s="69" customFormat="1" ht="15" customHeight="1" outlineLevel="1" collapsed="1" x14ac:dyDescent="0.3">
      <c r="A86" s="25"/>
      <c r="B86" s="14" t="str">
        <f>CONCATENATE("     ","Training                                          ")</f>
        <v xml:space="preserve">     Training                                          </v>
      </c>
      <c r="C86" s="14"/>
      <c r="D86" s="2">
        <f>SUM(OSRRefD22_15x_0)</f>
        <v>0</v>
      </c>
      <c r="E86" s="2"/>
      <c r="F86" s="6">
        <f t="shared" si="8"/>
        <v>0</v>
      </c>
      <c r="G86" s="2"/>
      <c r="H86" s="2">
        <f>SUM(OSRRefH22_15x_0)</f>
        <v>0</v>
      </c>
      <c r="I86" s="2"/>
      <c r="J86" s="6">
        <f t="shared" si="9"/>
        <v>0</v>
      </c>
      <c r="K86" s="2"/>
      <c r="L86" s="2">
        <f t="shared" si="10"/>
        <v>0</v>
      </c>
      <c r="M86" s="2"/>
      <c r="N86" s="6">
        <f t="shared" si="11"/>
        <v>0</v>
      </c>
      <c r="O86" s="14"/>
      <c r="P86" s="2">
        <f>SUM(OSRRefP22_15x_0)</f>
        <v>0</v>
      </c>
      <c r="Q86" s="2"/>
      <c r="R86" s="6">
        <f t="shared" si="12"/>
        <v>0</v>
      </c>
      <c r="S86" s="2"/>
      <c r="T86" s="2">
        <f>SUM(OSRRefT22_15x_0)</f>
        <v>1000</v>
      </c>
      <c r="U86" s="2"/>
      <c r="V86" s="6">
        <f t="shared" si="13"/>
        <v>4.0879731828959203E-4</v>
      </c>
      <c r="W86" s="2"/>
      <c r="X86" s="2">
        <f t="shared" si="14"/>
        <v>-1000</v>
      </c>
      <c r="Y86" s="2"/>
      <c r="Z86" s="6">
        <f t="shared" si="15"/>
        <v>-1</v>
      </c>
    </row>
    <row r="87" spans="1:26" s="70" customFormat="1" ht="15" hidden="1" customHeight="1" outlineLevel="2" x14ac:dyDescent="0.3">
      <c r="A87" s="26"/>
      <c r="B87" s="12" t="str">
        <f>CONCATENATE("          ","6376"," - ","TRAINING")</f>
        <v xml:space="preserve">          6376 - TRAINING</v>
      </c>
      <c r="C87" s="12"/>
      <c r="D87" s="8"/>
      <c r="E87" s="3"/>
      <c r="F87" s="7">
        <f t="shared" si="8"/>
        <v>0</v>
      </c>
      <c r="G87" s="3"/>
      <c r="H87" s="8"/>
      <c r="I87" s="3"/>
      <c r="J87" s="7">
        <f t="shared" si="9"/>
        <v>0</v>
      </c>
      <c r="K87" s="3"/>
      <c r="L87" s="8">
        <f t="shared" si="10"/>
        <v>0</v>
      </c>
      <c r="M87" s="3"/>
      <c r="N87" s="7">
        <f t="shared" si="11"/>
        <v>0</v>
      </c>
      <c r="O87" s="12"/>
      <c r="P87" s="8"/>
      <c r="Q87" s="3"/>
      <c r="R87" s="7">
        <f t="shared" si="12"/>
        <v>0</v>
      </c>
      <c r="S87" s="3"/>
      <c r="T87" s="8">
        <v>1000</v>
      </c>
      <c r="U87" s="3"/>
      <c r="V87" s="7">
        <f t="shared" si="13"/>
        <v>4.0879731828959203E-4</v>
      </c>
      <c r="W87" s="3"/>
      <c r="X87" s="8">
        <f t="shared" si="14"/>
        <v>-1000</v>
      </c>
      <c r="Y87" s="3"/>
      <c r="Z87" s="7">
        <f t="shared" si="15"/>
        <v>-1</v>
      </c>
    </row>
    <row r="88" spans="1:26" s="65" customFormat="1" ht="15" customHeight="1" x14ac:dyDescent="0.3">
      <c r="A88" s="35"/>
      <c r="B88" s="35"/>
      <c r="C88" s="35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35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63" customFormat="1" ht="15" customHeight="1" x14ac:dyDescent="0.3">
      <c r="A89" s="11"/>
      <c r="B89" s="27" t="s">
        <v>291</v>
      </c>
      <c r="C89" s="11"/>
      <c r="D89" s="5">
        <f>SUM(0)</f>
        <v>0</v>
      </c>
      <c r="E89" s="5"/>
      <c r="F89" s="13">
        <f>IF(D$12=0,0,D89/D$12)</f>
        <v>0</v>
      </c>
      <c r="G89" s="5"/>
      <c r="H89" s="5">
        <f>SUM(0)</f>
        <v>0</v>
      </c>
      <c r="I89" s="5"/>
      <c r="J89" s="13">
        <f>IF(H$12=0,0,H89/H$12)</f>
        <v>0</v>
      </c>
      <c r="K89" s="5"/>
      <c r="L89" s="5">
        <f>+D89-H89</f>
        <v>0</v>
      </c>
      <c r="M89" s="5"/>
      <c r="N89" s="13">
        <f>IF(H89=0,0,L89/H89)</f>
        <v>0</v>
      </c>
      <c r="O89" s="11"/>
      <c r="P89" s="5">
        <f>SUM(0)</f>
        <v>0</v>
      </c>
      <c r="Q89" s="5"/>
      <c r="R89" s="13">
        <f>IF(P$12=0,0,P89/P$12)</f>
        <v>0</v>
      </c>
      <c r="S89" s="5"/>
      <c r="T89" s="5">
        <f>SUM(0)</f>
        <v>0</v>
      </c>
      <c r="U89" s="5"/>
      <c r="V89" s="13">
        <f>IF(T$12=0,0,T89/T$12)</f>
        <v>0</v>
      </c>
      <c r="W89" s="5"/>
      <c r="X89" s="5">
        <f>+P89-T89</f>
        <v>0</v>
      </c>
      <c r="Y89" s="5"/>
      <c r="Z89" s="13">
        <f>IF(T89=0,0,X89/T89)</f>
        <v>0</v>
      </c>
    </row>
    <row r="90" spans="1:26" ht="15" customHeight="1" x14ac:dyDescent="0.3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3">
      <c r="A91" s="11"/>
      <c r="B91" s="28" t="s">
        <v>292</v>
      </c>
      <c r="C91" s="28"/>
      <c r="D91" s="21">
        <f>+D23-D25+D89</f>
        <v>192087.76000000004</v>
      </c>
      <c r="E91" s="15"/>
      <c r="F91" s="22">
        <f>IF(D$12=0,0,D91/D$12)</f>
        <v>0.42022611311886454</v>
      </c>
      <c r="G91" s="15"/>
      <c r="H91" s="21">
        <f>+H23-H25+H89</f>
        <v>159355.82810307696</v>
      </c>
      <c r="I91" s="15"/>
      <c r="J91" s="22">
        <f>IF(H$12=0,0,H91/H$12)</f>
        <v>0.35131355401912912</v>
      </c>
      <c r="K91" s="16"/>
      <c r="L91" s="21">
        <f>+D91-H91</f>
        <v>32731.931896923081</v>
      </c>
      <c r="M91" s="16"/>
      <c r="N91" s="22">
        <f>IF(H91=0,0,L91/H91)</f>
        <v>0.20540153621335339</v>
      </c>
      <c r="O91" s="27"/>
      <c r="P91" s="21">
        <f>+P23-P25+P89</f>
        <v>936975.55000000051</v>
      </c>
      <c r="Q91" s="15"/>
      <c r="R91" s="22">
        <f>IF(P$12=0,0,P91/P$12)</f>
        <v>0.34736658027195894</v>
      </c>
      <c r="S91" s="15"/>
      <c r="T91" s="21">
        <f>+T23-T25+T89</f>
        <v>435168.07340192376</v>
      </c>
      <c r="U91" s="15"/>
      <c r="V91" s="22">
        <f>IF(T$12=0,0,T91/T$12)</f>
        <v>0.17789554141195477</v>
      </c>
      <c r="W91" s="16"/>
      <c r="X91" s="21">
        <f>+P91-T91</f>
        <v>501807.47659807676</v>
      </c>
      <c r="Y91" s="16"/>
      <c r="Z91" s="22">
        <f>IF(T91=0,0,X91/T91)</f>
        <v>1.1531348627558999</v>
      </c>
    </row>
    <row r="92" spans="1:26" ht="15" customHeight="1" x14ac:dyDescent="0.3">
      <c r="A92" s="10"/>
      <c r="B92" s="11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49"/>
      <c r="B93" s="11" t="s">
        <v>293</v>
      </c>
      <c r="C93" s="11"/>
      <c r="D93" s="5">
        <v>40155.11</v>
      </c>
      <c r="E93" s="5"/>
      <c r="F93" s="13">
        <f>IF(D$12=0,0,D93/D$12)</f>
        <v>8.7846439550132951E-2</v>
      </c>
      <c r="G93" s="5"/>
      <c r="H93" s="5">
        <v>49377</v>
      </c>
      <c r="I93" s="5"/>
      <c r="J93" s="13">
        <f>IF(H$12=0,0,H93/H$12)</f>
        <v>0.10885582010582011</v>
      </c>
      <c r="K93" s="5"/>
      <c r="L93" s="5">
        <f>+D93-H93</f>
        <v>-9221.89</v>
      </c>
      <c r="M93" s="5"/>
      <c r="N93" s="13">
        <f>IF(H93=0,0,L93/H93)</f>
        <v>-0.18676489053607953</v>
      </c>
      <c r="O93" s="11"/>
      <c r="P93" s="5">
        <v>336692.79</v>
      </c>
      <c r="Q93" s="5"/>
      <c r="R93" s="13">
        <f>IF(P$12=0,0,P93/P$12)</f>
        <v>0.12482270542120842</v>
      </c>
      <c r="S93" s="5"/>
      <c r="T93" s="5">
        <v>299042</v>
      </c>
      <c r="U93" s="5"/>
      <c r="V93" s="13">
        <f>IF(T$12=0,0,T93/T$12)</f>
        <v>0.12224756765595618</v>
      </c>
      <c r="W93" s="5"/>
      <c r="X93" s="5">
        <f>+P93-T93</f>
        <v>37650.789999999979</v>
      </c>
      <c r="Y93" s="5"/>
      <c r="Z93" s="13">
        <f>IF(T93=0,0,X93/T93)</f>
        <v>0.12590468897345516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11"/>
      <c r="B95" s="28" t="s">
        <v>294</v>
      </c>
      <c r="C95" s="28"/>
      <c r="D95" s="33">
        <f>+D91-D93</f>
        <v>151932.65000000002</v>
      </c>
      <c r="E95" s="15"/>
      <c r="F95" s="32">
        <f>IF(D$12=0,0,D95/D$12)</f>
        <v>0.33237967356873155</v>
      </c>
      <c r="G95" s="15"/>
      <c r="H95" s="33">
        <f>+H91-H93</f>
        <v>109978.82810307696</v>
      </c>
      <c r="I95" s="15"/>
      <c r="J95" s="32">
        <f>IF(H$12=0,0,H95/H$12)</f>
        <v>0.24245773391330899</v>
      </c>
      <c r="K95" s="16"/>
      <c r="L95" s="33">
        <f>D95-H95</f>
        <v>41953.821896923066</v>
      </c>
      <c r="M95" s="16"/>
      <c r="N95" s="32">
        <f>IF(H95=0,0,L95/H95)</f>
        <v>0.38147180344204168</v>
      </c>
      <c r="O95" s="27"/>
      <c r="P95" s="33">
        <f>+P91-P93</f>
        <v>600282.76000000047</v>
      </c>
      <c r="Q95" s="15"/>
      <c r="R95" s="32">
        <f>IF(P$12=0,0,P95/P$12)</f>
        <v>0.2225438748507505</v>
      </c>
      <c r="S95" s="15"/>
      <c r="T95" s="33">
        <f>+T91-T93</f>
        <v>136126.07340192376</v>
      </c>
      <c r="U95" s="15"/>
      <c r="V95" s="32">
        <f>IF(T$12=0,0,T95/T$12)</f>
        <v>5.5647973755998593E-2</v>
      </c>
      <c r="W95" s="16"/>
      <c r="X95" s="33">
        <f>P95-T95</f>
        <v>464156.68659807672</v>
      </c>
      <c r="Y95" s="16"/>
      <c r="Z95" s="32">
        <f>IF(T95=0,0,X95/T95)</f>
        <v>3.4097559343213759</v>
      </c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ht="15" customHeight="1" x14ac:dyDescent="0.3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3">
      <c r="A98" s="11"/>
      <c r="B98" s="28" t="s">
        <v>297</v>
      </c>
      <c r="C98" s="28"/>
      <c r="D98" s="34">
        <f>SUM(D95:D97)</f>
        <v>151932.65000000002</v>
      </c>
      <c r="E98" s="15"/>
      <c r="F98" s="30">
        <f>IF(D$12=0,0,D98/D$12)</f>
        <v>0.33237967356873155</v>
      </c>
      <c r="G98" s="15"/>
      <c r="H98" s="34">
        <f>SUM(H95:H97)</f>
        <v>109978.82810307696</v>
      </c>
      <c r="I98" s="15"/>
      <c r="J98" s="30">
        <f>IF(H$12=0,0,H98/H$12)</f>
        <v>0.24245773391330899</v>
      </c>
      <c r="K98" s="16"/>
      <c r="L98" s="34">
        <f>+D98-H98</f>
        <v>41953.821896923066</v>
      </c>
      <c r="M98" s="16"/>
      <c r="N98" s="30">
        <f>IF(H98=0,0,L98/H98)</f>
        <v>0.38147180344204168</v>
      </c>
      <c r="O98" s="27"/>
      <c r="P98" s="34">
        <f>SUM(P95:P97)</f>
        <v>600282.76000000047</v>
      </c>
      <c r="Q98" s="15"/>
      <c r="R98" s="30">
        <f>IF(P$12=0,0,P98/P$12)</f>
        <v>0.2225438748507505</v>
      </c>
      <c r="S98" s="15"/>
      <c r="T98" s="34">
        <f>SUM(T95:T97)</f>
        <v>136126.07340192376</v>
      </c>
      <c r="U98" s="15"/>
      <c r="V98" s="30">
        <f>IF(T$12=0,0,T98/T$12)</f>
        <v>5.5647973755998593E-2</v>
      </c>
      <c r="W98" s="16"/>
      <c r="X98" s="34">
        <f>+P98-T98</f>
        <v>464156.68659807672</v>
      </c>
      <c r="Y98" s="16"/>
      <c r="Z98" s="30">
        <f>IF(T98=0,0,X98/T98)</f>
        <v>3.4097559343213759</v>
      </c>
    </row>
    <row r="99" spans="1:26" ht="15" customHeight="1" x14ac:dyDescent="0.3">
      <c r="A99" s="10"/>
      <c r="C99" s="10"/>
      <c r="D99" s="19"/>
      <c r="E99" s="19"/>
      <c r="G99" s="19"/>
      <c r="H99" s="19"/>
      <c r="I99" s="19"/>
      <c r="J99" s="41"/>
      <c r="K99" s="19"/>
      <c r="L99" s="19"/>
      <c r="M99" s="19"/>
      <c r="P99" s="19"/>
      <c r="Q99" s="19"/>
      <c r="R99" s="41"/>
      <c r="S99" s="19"/>
      <c r="T99" s="19"/>
      <c r="U99" s="19"/>
      <c r="V99" s="41"/>
      <c r="W99" s="19"/>
      <c r="X99" s="19"/>
    </row>
    <row r="100" spans="1:26" ht="15" customHeight="1" x14ac:dyDescent="0.3">
      <c r="A100" s="10"/>
      <c r="B100" s="57">
        <v>44634.883430555557</v>
      </c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0"/>
      <c r="B101" s="56" t="s">
        <v>298</v>
      </c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0"/>
      <c r="B102" s="54"/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EAAE5-34DB-5463-9C35-8F060A98590B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","435"," - ","Ground Floor Coffee House")</f>
        <v>Department 435 - Ground Floor Coffee House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x14ac:dyDescent="0.3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289</v>
      </c>
      <c r="C16" s="28"/>
      <c r="D16" s="21">
        <f>D12-D14</f>
        <v>0</v>
      </c>
      <c r="E16" s="15"/>
      <c r="F16" s="22">
        <f>IF(D$12=0,0,D16/D$12)</f>
        <v>0</v>
      </c>
      <c r="G16" s="15"/>
      <c r="H16" s="21">
        <f>H12-H14</f>
        <v>0</v>
      </c>
      <c r="I16" s="15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7"/>
      <c r="P16" s="21">
        <f>P12-P14</f>
        <v>0</v>
      </c>
      <c r="Q16" s="15"/>
      <c r="R16" s="22">
        <f>IF(P$12=0,0,P16/P$12)</f>
        <v>0</v>
      </c>
      <c r="S16" s="15"/>
      <c r="T16" s="21">
        <f>T12-T14</f>
        <v>0</v>
      </c>
      <c r="U16" s="15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7" t="s">
        <v>290</v>
      </c>
      <c r="C18" s="11"/>
      <c r="D18" s="23">
        <f>SUM(OSRRefD22x_0)</f>
        <v>0</v>
      </c>
      <c r="E18" s="23"/>
      <c r="F18" s="29">
        <f>IF(D$12=0,0,D18/D$12)</f>
        <v>0</v>
      </c>
      <c r="G18" s="23"/>
      <c r="H18" s="23">
        <f>SUM(OSRRefH22x_0)</f>
        <v>0</v>
      </c>
      <c r="I18" s="23"/>
      <c r="J18" s="29">
        <f>IF(H$12=0,0,H18/H$12)</f>
        <v>0</v>
      </c>
      <c r="K18" s="5"/>
      <c r="L18" s="23">
        <f>+D18-H18</f>
        <v>0</v>
      </c>
      <c r="M18" s="5"/>
      <c r="N18" s="29">
        <f>IF(H18=0,0,L18/H18)</f>
        <v>0</v>
      </c>
      <c r="O18" s="11"/>
      <c r="P18" s="23">
        <f>SUM(OSRRefP22x_0)</f>
        <v>0.28000000000000003</v>
      </c>
      <c r="Q18" s="23"/>
      <c r="R18" s="29">
        <f>IF(P$12=0,0,P18/P$12)</f>
        <v>0</v>
      </c>
      <c r="S18" s="23"/>
      <c r="T18" s="23">
        <f>SUM(OSRRefT22x_0)</f>
        <v>0</v>
      </c>
      <c r="U18" s="23"/>
      <c r="V18" s="29">
        <f>IF(T$12=0,0,T18/T$12)</f>
        <v>0</v>
      </c>
      <c r="W18" s="5"/>
      <c r="X18" s="23">
        <f>+P18-T18</f>
        <v>0.28000000000000003</v>
      </c>
      <c r="Y18" s="5"/>
      <c r="Z18" s="29">
        <f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","Bank/card Fees                                    ")</f>
        <v xml:space="preserve">     Bank/card Fees                                    </v>
      </c>
      <c r="C19" s="14"/>
      <c r="D19" s="2">
        <f>SUM(OSRRefD22_0x_0)</f>
        <v>0</v>
      </c>
      <c r="E19" s="2"/>
      <c r="F19" s="6">
        <f>IF(D$12=0,0,D19/D$12)</f>
        <v>0</v>
      </c>
      <c r="G19" s="2"/>
      <c r="H19" s="2">
        <f>SUM(OSRRefH22_0x_0)</f>
        <v>0</v>
      </c>
      <c r="I19" s="2"/>
      <c r="J19" s="6">
        <f>IF(H$12=0,0,H19/H$12)</f>
        <v>0</v>
      </c>
      <c r="K19" s="2"/>
      <c r="L19" s="2">
        <f>+D19-H19</f>
        <v>0</v>
      </c>
      <c r="M19" s="2"/>
      <c r="N19" s="6">
        <f>IF(H19=0,0,L19/H19)</f>
        <v>0</v>
      </c>
      <c r="O19" s="14"/>
      <c r="P19" s="2">
        <f>SUM(OSRRefP22_0x_0)</f>
        <v>0.28000000000000003</v>
      </c>
      <c r="Q19" s="2"/>
      <c r="R19" s="6">
        <f>IF(P$12=0,0,P19/P$12)</f>
        <v>0</v>
      </c>
      <c r="S19" s="2"/>
      <c r="T19" s="2">
        <f>SUM(OSRRefT22_0x_0)</f>
        <v>0</v>
      </c>
      <c r="U19" s="2"/>
      <c r="V19" s="6">
        <f>IF(T$12=0,0,T19/T$12)</f>
        <v>0</v>
      </c>
      <c r="W19" s="2"/>
      <c r="X19" s="2">
        <f>+P19-T19</f>
        <v>0.28000000000000003</v>
      </c>
      <c r="Y19" s="2"/>
      <c r="Z19" s="6">
        <f>IF(T19=0,0,X19/T19)</f>
        <v>0</v>
      </c>
    </row>
    <row r="20" spans="1:26" s="70" customFormat="1" ht="15" hidden="1" customHeight="1" outlineLevel="2" x14ac:dyDescent="0.3">
      <c r="A20" s="26"/>
      <c r="B20" s="12" t="str">
        <f>CONCATENATE("          ","6381"," - ","BANK/CREDIT CARD FEES")</f>
        <v xml:space="preserve">          6381 - BANK/CREDIT CARD FEES</v>
      </c>
      <c r="C20" s="12"/>
      <c r="D20" s="8"/>
      <c r="E20" s="3"/>
      <c r="F20" s="7">
        <f>IF(D$12=0,0,D20/D$12)</f>
        <v>0</v>
      </c>
      <c r="G20" s="3"/>
      <c r="H20" s="8"/>
      <c r="I20" s="3"/>
      <c r="J20" s="7">
        <f>IF(H$12=0,0,H20/H$12)</f>
        <v>0</v>
      </c>
      <c r="K20" s="3"/>
      <c r="L20" s="8">
        <f>+D20-H20</f>
        <v>0</v>
      </c>
      <c r="M20" s="3"/>
      <c r="N20" s="7">
        <f>IF(H20=0,0,L20/H20)</f>
        <v>0</v>
      </c>
      <c r="O20" s="12"/>
      <c r="P20" s="8">
        <v>0.28000000000000003</v>
      </c>
      <c r="Q20" s="3"/>
      <c r="R20" s="7">
        <f>IF(P$12=0,0,P20/P$12)</f>
        <v>0</v>
      </c>
      <c r="S20" s="3"/>
      <c r="T20" s="8"/>
      <c r="U20" s="3"/>
      <c r="V20" s="7">
        <f>IF(T$12=0,0,T20/T$12)</f>
        <v>0</v>
      </c>
      <c r="W20" s="3"/>
      <c r="X20" s="8">
        <f>+P20-T20</f>
        <v>0.28000000000000003</v>
      </c>
      <c r="Y20" s="3"/>
      <c r="Z20" s="7">
        <f>IF(T20=0,0,X20/T20)</f>
        <v>0</v>
      </c>
    </row>
    <row r="21" spans="1:26" s="65" customFormat="1" ht="15" customHeight="1" x14ac:dyDescent="0.3">
      <c r="A21" s="35"/>
      <c r="B21" s="35"/>
      <c r="C21" s="35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3">
      <c r="A22" s="11"/>
      <c r="B22" s="27" t="s">
        <v>291</v>
      </c>
      <c r="C22" s="11"/>
      <c r="D22" s="5">
        <f>SUM(0)</f>
        <v>0</v>
      </c>
      <c r="E22" s="5"/>
      <c r="F22" s="13">
        <f>IF(D$12=0,0,D22/D$12)</f>
        <v>0</v>
      </c>
      <c r="G22" s="5"/>
      <c r="H22" s="5">
        <f>SUM(0)</f>
        <v>0</v>
      </c>
      <c r="I22" s="5"/>
      <c r="J22" s="13">
        <f>IF(H$12=0,0,H22/H$12)</f>
        <v>0</v>
      </c>
      <c r="K22" s="5"/>
      <c r="L22" s="5">
        <f>+D22-H22</f>
        <v>0</v>
      </c>
      <c r="M22" s="5"/>
      <c r="N22" s="13">
        <f>IF(H22=0,0,L22/H22)</f>
        <v>0</v>
      </c>
      <c r="O22" s="11"/>
      <c r="P22" s="5">
        <f>SUM(0)</f>
        <v>0</v>
      </c>
      <c r="Q22" s="5"/>
      <c r="R22" s="13">
        <f>IF(P$12=0,0,P22/P$12)</f>
        <v>0</v>
      </c>
      <c r="S22" s="5"/>
      <c r="T22" s="5">
        <f>SUM(0)</f>
        <v>0</v>
      </c>
      <c r="U22" s="5"/>
      <c r="V22" s="13">
        <f>IF(T$12=0,0,T22/T$12)</f>
        <v>0</v>
      </c>
      <c r="W22" s="5"/>
      <c r="X22" s="5">
        <f>+P22-T22</f>
        <v>0</v>
      </c>
      <c r="Y22" s="5"/>
      <c r="Z22" s="13">
        <f>IF(T22=0,0,X22/T22)</f>
        <v>0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11"/>
      <c r="B24" s="28" t="s">
        <v>292</v>
      </c>
      <c r="C24" s="28"/>
      <c r="D24" s="21">
        <f>+D16-D18+D22</f>
        <v>0</v>
      </c>
      <c r="E24" s="15"/>
      <c r="F24" s="22">
        <f>IF(D$12=0,0,D24/D$12)</f>
        <v>0</v>
      </c>
      <c r="G24" s="15"/>
      <c r="H24" s="21">
        <f>+H16-H18+H22</f>
        <v>0</v>
      </c>
      <c r="I24" s="15"/>
      <c r="J24" s="22">
        <f>IF(H$12=0,0,H24/H$12)</f>
        <v>0</v>
      </c>
      <c r="K24" s="16"/>
      <c r="L24" s="21">
        <f>+D24-H24</f>
        <v>0</v>
      </c>
      <c r="M24" s="16"/>
      <c r="N24" s="22">
        <f>IF(H24=0,0,L24/H24)</f>
        <v>0</v>
      </c>
      <c r="O24" s="27"/>
      <c r="P24" s="21">
        <f>+P16-P18+P22</f>
        <v>-0.28000000000000003</v>
      </c>
      <c r="Q24" s="15"/>
      <c r="R24" s="22">
        <f>IF(P$12=0,0,P24/P$12)</f>
        <v>0</v>
      </c>
      <c r="S24" s="15"/>
      <c r="T24" s="21">
        <f>+T16-T18+T22</f>
        <v>0</v>
      </c>
      <c r="U24" s="15"/>
      <c r="V24" s="22">
        <f>IF(T$12=0,0,T24/T$12)</f>
        <v>0</v>
      </c>
      <c r="W24" s="16"/>
      <c r="X24" s="21">
        <f>+P24-T24</f>
        <v>-0.28000000000000003</v>
      </c>
      <c r="Y24" s="16"/>
      <c r="Z24" s="22">
        <f>IF(T24=0,0,X24/T24)</f>
        <v>0</v>
      </c>
    </row>
    <row r="25" spans="1:26" ht="15" customHeight="1" x14ac:dyDescent="0.3">
      <c r="A25" s="10"/>
      <c r="B25" s="11"/>
      <c r="C25" s="10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49"/>
      <c r="B26" s="11" t="s">
        <v>293</v>
      </c>
      <c r="C26" s="11"/>
      <c r="D26" s="5"/>
      <c r="E26" s="5"/>
      <c r="F26" s="13">
        <f>IF(D$12=0,0,D26/D$12)</f>
        <v>0</v>
      </c>
      <c r="G26" s="5"/>
      <c r="H26" s="5"/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/>
      <c r="Q26" s="5"/>
      <c r="R26" s="13">
        <f>IF(P$12=0,0,P26/P$12)</f>
        <v>0</v>
      </c>
      <c r="S26" s="5"/>
      <c r="T26" s="5"/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8" t="s">
        <v>294</v>
      </c>
      <c r="C28" s="28"/>
      <c r="D28" s="33">
        <f>+D24-D26</f>
        <v>0</v>
      </c>
      <c r="E28" s="15"/>
      <c r="F28" s="32">
        <f>IF(D$12=0,0,D28/D$12)</f>
        <v>0</v>
      </c>
      <c r="G28" s="15"/>
      <c r="H28" s="33">
        <f>+H24-H26</f>
        <v>0</v>
      </c>
      <c r="I28" s="15"/>
      <c r="J28" s="32">
        <f>IF(H$12=0,0,H28/H$12)</f>
        <v>0</v>
      </c>
      <c r="K28" s="16"/>
      <c r="L28" s="33">
        <f>D28-H28</f>
        <v>0</v>
      </c>
      <c r="M28" s="16"/>
      <c r="N28" s="32">
        <f>IF(H28=0,0,L28/H28)</f>
        <v>0</v>
      </c>
      <c r="O28" s="27"/>
      <c r="P28" s="33">
        <f>+P24-P26</f>
        <v>-0.28000000000000003</v>
      </c>
      <c r="Q28" s="15"/>
      <c r="R28" s="32">
        <f>IF(P$12=0,0,P28/P$12)</f>
        <v>0</v>
      </c>
      <c r="S28" s="15"/>
      <c r="T28" s="33">
        <f>+T24-T26</f>
        <v>0</v>
      </c>
      <c r="U28" s="15"/>
      <c r="V28" s="32">
        <f>IF(T$12=0,0,T28/T$12)</f>
        <v>0</v>
      </c>
      <c r="W28" s="16"/>
      <c r="X28" s="33">
        <f>P28-T28</f>
        <v>-0.28000000000000003</v>
      </c>
      <c r="Y28" s="16"/>
      <c r="Z28" s="32">
        <f>IF(T28=0,0,X28/T28)</f>
        <v>0</v>
      </c>
    </row>
    <row r="29" spans="1:26" ht="15" customHeight="1" x14ac:dyDescent="0.3">
      <c r="A29" s="10"/>
      <c r="B29" s="10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297</v>
      </c>
      <c r="C31" s="28"/>
      <c r="D31" s="34">
        <f>SUM(D28:D30)</f>
        <v>0</v>
      </c>
      <c r="E31" s="15"/>
      <c r="F31" s="30">
        <f>IF(D$12=0,0,D31/D$12)</f>
        <v>0</v>
      </c>
      <c r="G31" s="15"/>
      <c r="H31" s="34">
        <f>SUM(H28:H30)</f>
        <v>0</v>
      </c>
      <c r="I31" s="15"/>
      <c r="J31" s="30">
        <f>IF(H$12=0,0,H31/H$12)</f>
        <v>0</v>
      </c>
      <c r="K31" s="16"/>
      <c r="L31" s="34">
        <f>+D31-H31</f>
        <v>0</v>
      </c>
      <c r="M31" s="16"/>
      <c r="N31" s="30">
        <f>IF(H31=0,0,L31/H31)</f>
        <v>0</v>
      </c>
      <c r="O31" s="27"/>
      <c r="P31" s="34">
        <f>SUM(P28:P30)</f>
        <v>-0.28000000000000003</v>
      </c>
      <c r="Q31" s="15"/>
      <c r="R31" s="30">
        <f>IF(P$12=0,0,P31/P$12)</f>
        <v>0</v>
      </c>
      <c r="S31" s="15"/>
      <c r="T31" s="34">
        <f>SUM(T28:T30)</f>
        <v>0</v>
      </c>
      <c r="U31" s="15"/>
      <c r="V31" s="30">
        <f>IF(T$12=0,0,T31/T$12)</f>
        <v>0</v>
      </c>
      <c r="W31" s="16"/>
      <c r="X31" s="34">
        <f>+P31-T31</f>
        <v>-0.28000000000000003</v>
      </c>
      <c r="Y31" s="16"/>
      <c r="Z31" s="30">
        <f>IF(T31=0,0,X31/T31)</f>
        <v>0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1"/>
      <c r="K32" s="19"/>
      <c r="L32" s="19"/>
      <c r="M32" s="19"/>
      <c r="P32" s="19"/>
      <c r="Q32" s="19"/>
      <c r="R32" s="41"/>
      <c r="S32" s="19"/>
      <c r="T32" s="19"/>
      <c r="U32" s="19"/>
      <c r="V32" s="41"/>
      <c r="W32" s="19"/>
      <c r="X32" s="19"/>
    </row>
    <row r="33" spans="1:24" ht="15" customHeight="1" x14ac:dyDescent="0.3">
      <c r="A33" s="10"/>
      <c r="B33" s="57">
        <v>44634.883430555557</v>
      </c>
      <c r="D33" s="19"/>
      <c r="E33" s="19"/>
      <c r="G33" s="19"/>
      <c r="H33" s="19"/>
      <c r="I33" s="19"/>
      <c r="J33" s="41"/>
      <c r="K33" s="19"/>
      <c r="L33" s="19"/>
      <c r="M33" s="19"/>
      <c r="P33" s="19"/>
      <c r="Q33" s="19"/>
      <c r="R33" s="41"/>
      <c r="S33" s="19"/>
      <c r="T33" s="19"/>
      <c r="U33" s="19"/>
      <c r="V33" s="41"/>
      <c r="W33" s="19"/>
      <c r="X33" s="19"/>
    </row>
    <row r="34" spans="1:24" ht="15" customHeight="1" x14ac:dyDescent="0.3">
      <c r="A34" s="10"/>
      <c r="B34" s="56" t="s">
        <v>298</v>
      </c>
      <c r="D34" s="19"/>
      <c r="E34" s="19"/>
      <c r="G34" s="19"/>
      <c r="H34" s="19"/>
      <c r="I34" s="19"/>
      <c r="J34" s="41"/>
      <c r="K34" s="19"/>
      <c r="L34" s="19"/>
      <c r="M34" s="19"/>
      <c r="P34" s="19"/>
      <c r="Q34" s="19"/>
      <c r="R34" s="41"/>
      <c r="S34" s="19"/>
      <c r="T34" s="19"/>
      <c r="U34" s="19"/>
      <c r="V34" s="41"/>
      <c r="W34" s="19"/>
      <c r="X34" s="19"/>
    </row>
    <row r="35" spans="1:24" ht="15" customHeight="1" x14ac:dyDescent="0.3">
      <c r="A35" s="10"/>
      <c r="B35" s="54"/>
      <c r="D35" s="19"/>
      <c r="E35" s="19"/>
      <c r="G35" s="19"/>
      <c r="H35" s="19"/>
      <c r="I35" s="19"/>
      <c r="J35" s="41"/>
      <c r="K35" s="19"/>
      <c r="L35" s="19"/>
      <c r="M35" s="19"/>
      <c r="P35" s="19"/>
      <c r="Q35" s="19"/>
      <c r="R35" s="41"/>
      <c r="S35" s="19"/>
      <c r="T35" s="19"/>
      <c r="U35" s="19"/>
      <c r="V35" s="41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1"/>
      <c r="K36" s="19"/>
      <c r="L36" s="19"/>
      <c r="M36" s="19"/>
      <c r="P36" s="19"/>
      <c r="Q36" s="19"/>
      <c r="R36" s="41"/>
      <c r="S36" s="19"/>
      <c r="T36" s="19"/>
      <c r="U36" s="19"/>
      <c r="V36" s="41"/>
      <c r="W36" s="19"/>
      <c r="X36" s="19"/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F794A-2DAB-6229-C74B-A03B84CACDE2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","444"," - ","Parkside Dining Hall")</f>
        <v>Department 444 - Parkside Dining Hall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677964.46999999986</v>
      </c>
      <c r="E12" s="5"/>
      <c r="F12" s="13"/>
      <c r="G12" s="5"/>
      <c r="H12" s="5">
        <f>SUM(OSRRefH13x_0)</f>
        <v>554400</v>
      </c>
      <c r="I12" s="5"/>
      <c r="J12" s="13"/>
      <c r="K12" s="5"/>
      <c r="L12" s="5">
        <f>+D12-H12</f>
        <v>123564.46999999986</v>
      </c>
      <c r="M12" s="5"/>
      <c r="N12" s="13">
        <f>IF(H12=0,0,L12/H12)</f>
        <v>0.22287963564213539</v>
      </c>
      <c r="O12" s="11"/>
      <c r="P12" s="5">
        <f>SUM(OSRRefP13x_0)</f>
        <v>3849469.9000000004</v>
      </c>
      <c r="Q12" s="5"/>
      <c r="R12" s="13"/>
      <c r="S12" s="5"/>
      <c r="T12" s="5">
        <f>SUM(OSRRefT13x_0)</f>
        <v>2989800</v>
      </c>
      <c r="U12" s="5"/>
      <c r="V12" s="13"/>
      <c r="W12" s="5"/>
      <c r="X12" s="5">
        <f>+P12-T12</f>
        <v>859669.90000000037</v>
      </c>
      <c r="Y12" s="5"/>
      <c r="Z12" s="13">
        <f>IF(T12=0,0,X12/T12)</f>
        <v>0.28753424978259429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--111.21</f>
        <v>111.21</v>
      </c>
      <c r="E13" s="3"/>
      <c r="F13" s="20"/>
      <c r="G13" s="3"/>
      <c r="H13" s="3"/>
      <c r="I13" s="3"/>
      <c r="J13" s="20"/>
      <c r="K13" s="3"/>
      <c r="L13" s="3">
        <f>+D13-H13</f>
        <v>111.21</v>
      </c>
      <c r="M13" s="3"/>
      <c r="N13" s="20">
        <f>IF(H13=0,0,L13/H13)</f>
        <v>0</v>
      </c>
      <c r="O13" s="12"/>
      <c r="P13" s="3">
        <f>--746.7</f>
        <v>746.7</v>
      </c>
      <c r="Q13" s="3"/>
      <c r="R13" s="20"/>
      <c r="S13" s="3"/>
      <c r="T13" s="3"/>
      <c r="U13" s="3"/>
      <c r="V13" s="20"/>
      <c r="W13" s="3"/>
      <c r="X13" s="3">
        <f>+P13-T13</f>
        <v>746.7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554400</v>
      </c>
      <c r="I14" s="3"/>
      <c r="J14" s="20"/>
      <c r="K14" s="3"/>
      <c r="L14" s="3">
        <f>+D14-H14</f>
        <v>-554400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2989800</v>
      </c>
      <c r="U14" s="3"/>
      <c r="V14" s="20"/>
      <c r="W14" s="3"/>
      <c r="X14" s="3">
        <f>+P14-T14</f>
        <v>-2989800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--674912.57</f>
        <v>674912.57</v>
      </c>
      <c r="E15" s="3"/>
      <c r="F15" s="20"/>
      <c r="G15" s="3"/>
      <c r="H15" s="3"/>
      <c r="I15" s="3"/>
      <c r="J15" s="20"/>
      <c r="K15" s="3"/>
      <c r="L15" s="3">
        <f>+D15-H15</f>
        <v>674912.57</v>
      </c>
      <c r="M15" s="3"/>
      <c r="N15" s="20">
        <f>IF(H15=0,0,L15/H15)</f>
        <v>0</v>
      </c>
      <c r="O15" s="12"/>
      <c r="P15" s="3">
        <f>--3830984.75</f>
        <v>3830984.75</v>
      </c>
      <c r="Q15" s="3"/>
      <c r="R15" s="20"/>
      <c r="S15" s="3"/>
      <c r="T15" s="3"/>
      <c r="U15" s="3"/>
      <c r="V15" s="20"/>
      <c r="W15" s="3"/>
      <c r="X15" s="3">
        <f>+P15-T15</f>
        <v>3830984.75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--2940.69</f>
        <v>2940.69</v>
      </c>
      <c r="E16" s="3"/>
      <c r="F16" s="20"/>
      <c r="G16" s="3"/>
      <c r="H16" s="3"/>
      <c r="I16" s="3"/>
      <c r="J16" s="20"/>
      <c r="K16" s="3"/>
      <c r="L16" s="3">
        <f>+D16-H16</f>
        <v>2940.69</v>
      </c>
      <c r="M16" s="3"/>
      <c r="N16" s="20">
        <f>IF(H16=0,0,L16/H16)</f>
        <v>0</v>
      </c>
      <c r="O16" s="12"/>
      <c r="P16" s="3">
        <f>--17738.45</f>
        <v>17738.45</v>
      </c>
      <c r="Q16" s="3"/>
      <c r="R16" s="20"/>
      <c r="S16" s="3"/>
      <c r="T16" s="3"/>
      <c r="U16" s="3"/>
      <c r="V16" s="20"/>
      <c r="W16" s="3"/>
      <c r="X16" s="3">
        <f>+P16-T16</f>
        <v>17738.45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152052.43</v>
      </c>
      <c r="E18" s="5"/>
      <c r="F18" s="13">
        <f>IF(D$12=0,0,D18/D$12)</f>
        <v>0.22427787403077337</v>
      </c>
      <c r="G18" s="5"/>
      <c r="H18" s="5">
        <f>SUM(OSRRefH16x_0)</f>
        <v>144144</v>
      </c>
      <c r="I18" s="5"/>
      <c r="J18" s="13">
        <f>IF(H$12=0,0,H18/H$12)</f>
        <v>0.26</v>
      </c>
      <c r="K18" s="5"/>
      <c r="L18" s="5">
        <f>+D18-H18</f>
        <v>7908.429999999993</v>
      </c>
      <c r="M18" s="5"/>
      <c r="N18" s="13">
        <f>IF(H18=0,0,L18/H18)</f>
        <v>5.4864787989787944E-2</v>
      </c>
      <c r="O18" s="11"/>
      <c r="P18" s="5">
        <f>SUM(OSRRefP16x_0)</f>
        <v>925868.66</v>
      </c>
      <c r="Q18" s="5"/>
      <c r="R18" s="13">
        <f>IF(P$12=0,0,P18/P$12)</f>
        <v>0.24051848281759522</v>
      </c>
      <c r="S18" s="5"/>
      <c r="T18" s="5">
        <f>SUM(OSRRefT16x_0)</f>
        <v>832392</v>
      </c>
      <c r="U18" s="5"/>
      <c r="V18" s="13">
        <f>IF(T$12=0,0,T18/T$12)</f>
        <v>0.27841059602649004</v>
      </c>
      <c r="W18" s="5"/>
      <c r="X18" s="5">
        <f>+P18-T18</f>
        <v>93476.660000000033</v>
      </c>
      <c r="Y18" s="5"/>
      <c r="Z18" s="13">
        <f>IF(T18=0,0,X18/T18)</f>
        <v>0.11229884477505794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144144</v>
      </c>
      <c r="I19" s="3"/>
      <c r="J19" s="20">
        <f>IF(H$12=0,0,H19/H$12)</f>
        <v>0.26</v>
      </c>
      <c r="K19" s="3"/>
      <c r="L19" s="3">
        <f>+D19-H19</f>
        <v>-144144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832392</v>
      </c>
      <c r="U19" s="3"/>
      <c r="V19" s="20">
        <f>IF(T$12=0,0,T19/T$12)</f>
        <v>0.27841059602649004</v>
      </c>
      <c r="W19" s="3"/>
      <c r="X19" s="3">
        <f>+P19-T19</f>
        <v>-832392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155989.43</v>
      </c>
      <c r="E20" s="3"/>
      <c r="F20" s="20">
        <f>IF(D$12=0,0,D20/D$12)</f>
        <v>0.23008496300698475</v>
      </c>
      <c r="G20" s="3"/>
      <c r="H20" s="3"/>
      <c r="I20" s="3"/>
      <c r="J20" s="20">
        <f>IF(H$12=0,0,H20/H$12)</f>
        <v>0</v>
      </c>
      <c r="K20" s="3"/>
      <c r="L20" s="3">
        <f>+D20-H20</f>
        <v>155989.43</v>
      </c>
      <c r="M20" s="3"/>
      <c r="N20" s="20">
        <f>IF(H20=0,0,L20/H20)</f>
        <v>0</v>
      </c>
      <c r="O20" s="12"/>
      <c r="P20" s="3">
        <v>936699.66</v>
      </c>
      <c r="Q20" s="3"/>
      <c r="R20" s="20">
        <f>IF(P$12=0,0,P20/P$12)</f>
        <v>0.24333211697537885</v>
      </c>
      <c r="S20" s="3"/>
      <c r="T20" s="3"/>
      <c r="U20" s="3"/>
      <c r="V20" s="20">
        <f>IF(T$12=0,0,T20/T$12)</f>
        <v>0</v>
      </c>
      <c r="W20" s="3"/>
      <c r="X20" s="3">
        <f>+P20-T20</f>
        <v>936699.66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-3937</v>
      </c>
      <c r="E21" s="3"/>
      <c r="F21" s="20">
        <f>IF(D$12=0,0,D21/D$12)</f>
        <v>-5.8070889762113949E-3</v>
      </c>
      <c r="G21" s="3"/>
      <c r="H21" s="3"/>
      <c r="I21" s="3"/>
      <c r="J21" s="20">
        <f>IF(H$12=0,0,H21/H$12)</f>
        <v>0</v>
      </c>
      <c r="K21" s="3"/>
      <c r="L21" s="3">
        <f>+D21-H21</f>
        <v>-3937</v>
      </c>
      <c r="M21" s="3"/>
      <c r="N21" s="20">
        <f>IF(H21=0,0,L21/H21)</f>
        <v>0</v>
      </c>
      <c r="O21" s="12"/>
      <c r="P21" s="3">
        <v>-10831</v>
      </c>
      <c r="Q21" s="3"/>
      <c r="R21" s="20">
        <f>IF(P$12=0,0,P21/P$12)</f>
        <v>-2.8136341577836466E-3</v>
      </c>
      <c r="S21" s="3"/>
      <c r="T21" s="3"/>
      <c r="U21" s="3"/>
      <c r="V21" s="20">
        <f>IF(T$12=0,0,T21/T$12)</f>
        <v>0</v>
      </c>
      <c r="W21" s="3"/>
      <c r="X21" s="3">
        <f>+P21-T21</f>
        <v>-10831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D12-D18</f>
        <v>525912.0399999998</v>
      </c>
      <c r="E23" s="15"/>
      <c r="F23" s="22">
        <f>IF(D$12=0,0,D23/D$12)</f>
        <v>0.77572212596922652</v>
      </c>
      <c r="G23" s="15"/>
      <c r="H23" s="21">
        <f>H12-H18</f>
        <v>410256</v>
      </c>
      <c r="I23" s="15"/>
      <c r="J23" s="22">
        <f>IF(H$12=0,0,H23/H$12)</f>
        <v>0.74</v>
      </c>
      <c r="K23" s="16"/>
      <c r="L23" s="21">
        <f>+D23-H23</f>
        <v>115656.0399999998</v>
      </c>
      <c r="M23" s="16"/>
      <c r="N23" s="22">
        <f>IF(H23=0,0,L23/H23)</f>
        <v>0.28191187941187895</v>
      </c>
      <c r="O23" s="27"/>
      <c r="P23" s="21">
        <f>P12-P18</f>
        <v>2923601.24</v>
      </c>
      <c r="Q23" s="15"/>
      <c r="R23" s="22">
        <f>IF(P$12=0,0,P23/P$12)</f>
        <v>0.75948151718240475</v>
      </c>
      <c r="S23" s="15"/>
      <c r="T23" s="21">
        <f>T12-T18</f>
        <v>2157408</v>
      </c>
      <c r="U23" s="15"/>
      <c r="V23" s="22">
        <f>IF(T$12=0,0,T23/T$12)</f>
        <v>0.7215894039735099</v>
      </c>
      <c r="W23" s="16"/>
      <c r="X23" s="21">
        <f>+P23-T23</f>
        <v>766193.24000000022</v>
      </c>
      <c r="Y23" s="16"/>
      <c r="Z23" s="22">
        <f>IF(T23=0,0,X23/T23)</f>
        <v>0.35514526691288817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217995.12999999998</v>
      </c>
      <c r="E25" s="23"/>
      <c r="F25" s="29">
        <f t="shared" ref="F25:F56" si="0">IF(D$12=0,0,D25/D$12)</f>
        <v>0.32154359062503679</v>
      </c>
      <c r="G25" s="23"/>
      <c r="H25" s="23" cm="1">
        <f t="array" ref="H25">SUM(OSRRefH22x_0)</f>
        <v>240141.37169121995</v>
      </c>
      <c r="I25" s="23"/>
      <c r="J25" s="29">
        <f t="shared" ref="J25:J56" si="1">IF(H$12=0,0,H25/H$12)</f>
        <v>0.43315543234347031</v>
      </c>
      <c r="K25" s="5"/>
      <c r="L25" s="23">
        <f t="shared" ref="L25:L56" si="2">+D25-H25</f>
        <v>-22146.24169121997</v>
      </c>
      <c r="M25" s="5"/>
      <c r="N25" s="29">
        <f t="shared" ref="N25:N56" si="3">IF(H25=0,0,L25/H25)</f>
        <v>-9.2221683982450911E-2</v>
      </c>
      <c r="O25" s="11"/>
      <c r="P25" s="23" cm="1">
        <f t="array" ref="P25">SUM(OSRRefP22x_0)</f>
        <v>1459410.6</v>
      </c>
      <c r="Q25" s="23"/>
      <c r="R25" s="29">
        <f t="shared" ref="R25:R56" si="4">IF(P$12=0,0,P25/P$12)</f>
        <v>0.37911988868908936</v>
      </c>
      <c r="S25" s="23"/>
      <c r="T25" s="23" cm="1">
        <f t="array" ref="T25">SUM(OSRRefT22x_0)</f>
        <v>1648571.2662981735</v>
      </c>
      <c r="U25" s="23"/>
      <c r="V25" s="29">
        <f t="shared" ref="V25:V56" si="5">IF(T$12=0,0,T25/T$12)</f>
        <v>0.5513985103679756</v>
      </c>
      <c r="W25" s="5"/>
      <c r="X25" s="23">
        <f t="shared" ref="X25:X56" si="6">+P25-T25</f>
        <v>-189160.66629817337</v>
      </c>
      <c r="Y25" s="5"/>
      <c r="Z25" s="29">
        <f t="shared" ref="Z25:Z56" si="7">IF(T25=0,0,X25/T25)</f>
        <v>-0.11474218322567821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28763.53</v>
      </c>
      <c r="E26" s="2"/>
      <c r="F26" s="6">
        <f t="shared" si="0"/>
        <v>4.2426308859518855E-2</v>
      </c>
      <c r="G26" s="2"/>
      <c r="H26" s="2">
        <f>SUM(OSRRefH22_0x_0)</f>
        <v>40125.010660450738</v>
      </c>
      <c r="I26" s="2"/>
      <c r="J26" s="6">
        <f t="shared" si="1"/>
        <v>7.2375560354348376E-2</v>
      </c>
      <c r="K26" s="2"/>
      <c r="L26" s="2">
        <f t="shared" si="2"/>
        <v>-11361.480660450739</v>
      </c>
      <c r="M26" s="2"/>
      <c r="N26" s="6">
        <f t="shared" si="3"/>
        <v>-0.28315209076440684</v>
      </c>
      <c r="O26" s="14"/>
      <c r="P26" s="2">
        <f>SUM(OSRRefP22_0x_0)</f>
        <v>241295.2</v>
      </c>
      <c r="Q26" s="2"/>
      <c r="R26" s="6">
        <f t="shared" si="4"/>
        <v>6.2682708598396877E-2</v>
      </c>
      <c r="S26" s="2"/>
      <c r="T26" s="2">
        <f>SUM(OSRRefT22_0x_0)</f>
        <v>330196.27827894344</v>
      </c>
      <c r="U26" s="2"/>
      <c r="V26" s="6">
        <f t="shared" si="5"/>
        <v>0.11044092523879305</v>
      </c>
      <c r="W26" s="2"/>
      <c r="X26" s="2">
        <f t="shared" si="6"/>
        <v>-88901.078278943431</v>
      </c>
      <c r="Y26" s="2"/>
      <c r="Z26" s="6">
        <f t="shared" si="7"/>
        <v>-0.26923706936466896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4736.09</v>
      </c>
      <c r="E27" s="3"/>
      <c r="F27" s="7">
        <f t="shared" si="0"/>
        <v>6.985749562952762E-3</v>
      </c>
      <c r="G27" s="3"/>
      <c r="H27" s="8">
        <v>3512.8786589123101</v>
      </c>
      <c r="I27" s="3"/>
      <c r="J27" s="7">
        <f t="shared" si="1"/>
        <v>6.3363612173742969E-3</v>
      </c>
      <c r="K27" s="3"/>
      <c r="L27" s="8">
        <f t="shared" si="2"/>
        <v>1223.21134108769</v>
      </c>
      <c r="M27" s="3"/>
      <c r="N27" s="7">
        <f t="shared" si="3"/>
        <v>0.34820768374232203</v>
      </c>
      <c r="O27" s="12"/>
      <c r="P27" s="8">
        <v>37197.24</v>
      </c>
      <c r="Q27" s="3"/>
      <c r="R27" s="7">
        <f t="shared" si="4"/>
        <v>9.6629512546649587E-3</v>
      </c>
      <c r="S27" s="3"/>
      <c r="T27" s="8">
        <v>33125.424265482703</v>
      </c>
      <c r="U27" s="3"/>
      <c r="V27" s="7">
        <f t="shared" si="5"/>
        <v>1.1079478314764434E-2</v>
      </c>
      <c r="W27" s="3"/>
      <c r="X27" s="8">
        <f t="shared" si="6"/>
        <v>4071.8157345172949</v>
      </c>
      <c r="Y27" s="3"/>
      <c r="Z27" s="7">
        <f t="shared" si="7"/>
        <v>0.12292116477916937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3687.84</v>
      </c>
      <c r="E28" s="3"/>
      <c r="F28" s="7">
        <f t="shared" si="0"/>
        <v>5.4395770917021668E-3</v>
      </c>
      <c r="G28" s="3"/>
      <c r="H28" s="8">
        <v>5044.7470261384597</v>
      </c>
      <c r="I28" s="3"/>
      <c r="J28" s="7">
        <f t="shared" si="1"/>
        <v>9.0994715478687951E-3</v>
      </c>
      <c r="K28" s="3"/>
      <c r="L28" s="8">
        <f t="shared" si="2"/>
        <v>-1356.9070261384595</v>
      </c>
      <c r="M28" s="3"/>
      <c r="N28" s="7">
        <f t="shared" si="3"/>
        <v>-0.26897424570704676</v>
      </c>
      <c r="O28" s="12"/>
      <c r="P28" s="8">
        <v>23518.58</v>
      </c>
      <c r="Q28" s="3"/>
      <c r="R28" s="7">
        <f t="shared" si="4"/>
        <v>6.1095632933770953E-3</v>
      </c>
      <c r="S28" s="3"/>
      <c r="T28" s="8">
        <v>34091.241008711499</v>
      </c>
      <c r="U28" s="3"/>
      <c r="V28" s="7">
        <f t="shared" si="5"/>
        <v>1.1402515555793531E-2</v>
      </c>
      <c r="W28" s="3"/>
      <c r="X28" s="8">
        <f t="shared" si="6"/>
        <v>-10572.661008711497</v>
      </c>
      <c r="Y28" s="3"/>
      <c r="Z28" s="7">
        <f t="shared" si="7"/>
        <v>-0.31012837009980992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13498.45</v>
      </c>
      <c r="E29" s="3"/>
      <c r="F29" s="7">
        <f t="shared" si="0"/>
        <v>1.9910261669022277E-2</v>
      </c>
      <c r="G29" s="3"/>
      <c r="H29" s="8">
        <v>21172.769230769201</v>
      </c>
      <c r="I29" s="3"/>
      <c r="J29" s="7">
        <f t="shared" si="1"/>
        <v>3.819042069042064E-2</v>
      </c>
      <c r="K29" s="3"/>
      <c r="L29" s="8">
        <f t="shared" si="2"/>
        <v>-7674.3192307692007</v>
      </c>
      <c r="M29" s="3"/>
      <c r="N29" s="7">
        <f t="shared" si="3"/>
        <v>-0.36246176147882164</v>
      </c>
      <c r="O29" s="12"/>
      <c r="P29" s="8">
        <v>117615.9</v>
      </c>
      <c r="Q29" s="3"/>
      <c r="R29" s="7">
        <f t="shared" si="4"/>
        <v>3.0553791315526324E-2</v>
      </c>
      <c r="S29" s="3"/>
      <c r="T29" s="8">
        <v>182245.23076922999</v>
      </c>
      <c r="U29" s="3"/>
      <c r="V29" s="7">
        <f t="shared" si="5"/>
        <v>6.09556594987056E-2</v>
      </c>
      <c r="W29" s="3"/>
      <c r="X29" s="8">
        <f t="shared" si="6"/>
        <v>-64629.33076923</v>
      </c>
      <c r="Y29" s="3"/>
      <c r="Z29" s="7">
        <f t="shared" si="7"/>
        <v>-0.35462837900580013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266.33999999999997</v>
      </c>
      <c r="E30" s="3"/>
      <c r="F30" s="7">
        <f t="shared" si="0"/>
        <v>3.9285244549762323E-4</v>
      </c>
      <c r="G30" s="3"/>
      <c r="H30" s="8">
        <v>279.52424155384602</v>
      </c>
      <c r="I30" s="3"/>
      <c r="J30" s="7">
        <f t="shared" si="1"/>
        <v>5.0419235489510461E-4</v>
      </c>
      <c r="K30" s="3"/>
      <c r="L30" s="8">
        <f t="shared" si="2"/>
        <v>-13.18424155384605</v>
      </c>
      <c r="M30" s="3"/>
      <c r="N30" s="7">
        <f t="shared" si="3"/>
        <v>-4.7166719711164332E-2</v>
      </c>
      <c r="O30" s="12"/>
      <c r="P30" s="8">
        <v>1698.55</v>
      </c>
      <c r="Q30" s="3"/>
      <c r="R30" s="7">
        <f t="shared" si="4"/>
        <v>4.4124257212661925E-4</v>
      </c>
      <c r="S30" s="3"/>
      <c r="T30" s="8">
        <v>1888.9605835961499</v>
      </c>
      <c r="U30" s="3"/>
      <c r="V30" s="7">
        <f t="shared" si="5"/>
        <v>6.3180165348723988E-4</v>
      </c>
      <c r="W30" s="3"/>
      <c r="X30" s="8">
        <f t="shared" si="6"/>
        <v>-190.41058359614999</v>
      </c>
      <c r="Y30" s="3"/>
      <c r="Z30" s="7">
        <f t="shared" si="7"/>
        <v>-0.10080177704589881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1163.51</v>
      </c>
      <c r="E31" s="3"/>
      <c r="F31" s="7">
        <f t="shared" si="0"/>
        <v>1.7161813804195377E-3</v>
      </c>
      <c r="G31" s="3"/>
      <c r="H31" s="8">
        <v>1406.6708415384601</v>
      </c>
      <c r="I31" s="3"/>
      <c r="J31" s="7">
        <f t="shared" si="1"/>
        <v>2.5372850677100652E-3</v>
      </c>
      <c r="K31" s="3"/>
      <c r="L31" s="8">
        <f t="shared" si="2"/>
        <v>-243.16084153846009</v>
      </c>
      <c r="M31" s="3"/>
      <c r="N31" s="7">
        <f t="shared" si="3"/>
        <v>-0.1728626444495841</v>
      </c>
      <c r="O31" s="12"/>
      <c r="P31" s="8">
        <v>11706.58</v>
      </c>
      <c r="Q31" s="3"/>
      <c r="R31" s="7">
        <f t="shared" si="4"/>
        <v>3.0410888522598915E-3</v>
      </c>
      <c r="S31" s="3"/>
      <c r="T31" s="8">
        <v>12308.369863461499</v>
      </c>
      <c r="U31" s="3"/>
      <c r="V31" s="7">
        <f t="shared" si="5"/>
        <v>4.1167870303904942E-3</v>
      </c>
      <c r="W31" s="3"/>
      <c r="X31" s="8">
        <f t="shared" si="6"/>
        <v>-601.78986346149941</v>
      </c>
      <c r="Y31" s="3"/>
      <c r="Z31" s="7">
        <f t="shared" si="7"/>
        <v>-4.8892734792441252E-2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8">
        <v>795.2</v>
      </c>
      <c r="E33" s="3"/>
      <c r="F33" s="7">
        <f t="shared" si="0"/>
        <v>1.1729228229320045E-3</v>
      </c>
      <c r="G33" s="3"/>
      <c r="H33" s="8"/>
      <c r="I33" s="3"/>
      <c r="J33" s="7">
        <f t="shared" si="1"/>
        <v>0</v>
      </c>
      <c r="K33" s="3"/>
      <c r="L33" s="8">
        <f t="shared" si="2"/>
        <v>795.2</v>
      </c>
      <c r="M33" s="3"/>
      <c r="N33" s="7">
        <f t="shared" si="3"/>
        <v>0</v>
      </c>
      <c r="O33" s="12"/>
      <c r="P33" s="8">
        <v>4097.37</v>
      </c>
      <c r="Q33" s="3"/>
      <c r="R33" s="7">
        <f t="shared" si="4"/>
        <v>1.0643985032848288E-3</v>
      </c>
      <c r="S33" s="3"/>
      <c r="T33" s="8"/>
      <c r="U33" s="3"/>
      <c r="V33" s="7">
        <f t="shared" si="5"/>
        <v>0</v>
      </c>
      <c r="W33" s="3"/>
      <c r="X33" s="8">
        <f t="shared" si="6"/>
        <v>4097.37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2315.2199999999998</v>
      </c>
      <c r="E34" s="3"/>
      <c r="F34" s="7">
        <f t="shared" si="0"/>
        <v>3.4149577189494904E-3</v>
      </c>
      <c r="G34" s="3"/>
      <c r="H34" s="8">
        <v>1967.9663307692299</v>
      </c>
      <c r="I34" s="3"/>
      <c r="J34" s="7">
        <f t="shared" si="1"/>
        <v>3.5497228188478172E-3</v>
      </c>
      <c r="K34" s="3"/>
      <c r="L34" s="8">
        <f t="shared" si="2"/>
        <v>347.2536692307699</v>
      </c>
      <c r="M34" s="3"/>
      <c r="N34" s="7">
        <f t="shared" si="3"/>
        <v>0.17645305399866112</v>
      </c>
      <c r="O34" s="12"/>
      <c r="P34" s="8">
        <v>22470.33</v>
      </c>
      <c r="Q34" s="3"/>
      <c r="R34" s="7">
        <f t="shared" si="4"/>
        <v>5.8372530721697551E-3</v>
      </c>
      <c r="S34" s="3"/>
      <c r="T34" s="8">
        <v>17219.705394230801</v>
      </c>
      <c r="U34" s="3"/>
      <c r="V34" s="7">
        <f t="shared" si="5"/>
        <v>5.7594840438259416E-3</v>
      </c>
      <c r="W34" s="3"/>
      <c r="X34" s="8">
        <f t="shared" si="6"/>
        <v>5250.6246057692006</v>
      </c>
      <c r="Y34" s="3"/>
      <c r="Z34" s="7">
        <f t="shared" si="7"/>
        <v>0.30491953756237561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1625.17</v>
      </c>
      <c r="E35" s="3"/>
      <c r="F35" s="7">
        <f t="shared" si="0"/>
        <v>2.3971315192962846E-3</v>
      </c>
      <c r="G35" s="3"/>
      <c r="H35" s="8">
        <v>4465.4543307692302</v>
      </c>
      <c r="I35" s="3"/>
      <c r="J35" s="7">
        <f t="shared" si="1"/>
        <v>8.0545713036963024E-3</v>
      </c>
      <c r="K35" s="3"/>
      <c r="L35" s="8">
        <f t="shared" si="2"/>
        <v>-2840.2843307692301</v>
      </c>
      <c r="M35" s="3"/>
      <c r="N35" s="7">
        <f t="shared" si="3"/>
        <v>-0.63605718934314026</v>
      </c>
      <c r="O35" s="12"/>
      <c r="P35" s="8">
        <v>15457.42</v>
      </c>
      <c r="Q35" s="3"/>
      <c r="R35" s="7">
        <f t="shared" si="4"/>
        <v>4.0154671686093713E-3</v>
      </c>
      <c r="S35" s="3"/>
      <c r="T35" s="8">
        <v>31117.346394230801</v>
      </c>
      <c r="U35" s="3"/>
      <c r="V35" s="7">
        <f t="shared" si="5"/>
        <v>1.0407835438568065E-2</v>
      </c>
      <c r="W35" s="3"/>
      <c r="X35" s="8">
        <f t="shared" si="6"/>
        <v>-15659.926394230801</v>
      </c>
      <c r="Y35" s="3"/>
      <c r="Z35" s="7">
        <f t="shared" si="7"/>
        <v>-0.50325391490111682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675.71</v>
      </c>
      <c r="E36" s="3"/>
      <c r="F36" s="7">
        <f t="shared" si="0"/>
        <v>9.9667464874671121E-4</v>
      </c>
      <c r="G36" s="3"/>
      <c r="H36" s="8">
        <v>2275</v>
      </c>
      <c r="I36" s="3"/>
      <c r="J36" s="7">
        <f t="shared" si="1"/>
        <v>4.1035353535353539E-3</v>
      </c>
      <c r="K36" s="3"/>
      <c r="L36" s="8">
        <f t="shared" si="2"/>
        <v>-1599.29</v>
      </c>
      <c r="M36" s="3"/>
      <c r="N36" s="7">
        <f t="shared" si="3"/>
        <v>-0.70298461538461532</v>
      </c>
      <c r="O36" s="12"/>
      <c r="P36" s="8">
        <v>7533.23</v>
      </c>
      <c r="Q36" s="3"/>
      <c r="R36" s="7">
        <f t="shared" si="4"/>
        <v>1.9569525663780353E-3</v>
      </c>
      <c r="S36" s="3"/>
      <c r="T36" s="8">
        <v>18200</v>
      </c>
      <c r="U36" s="3"/>
      <c r="V36" s="7">
        <f t="shared" si="5"/>
        <v>6.087363703257743E-3</v>
      </c>
      <c r="W36" s="3"/>
      <c r="X36" s="8">
        <f t="shared" si="6"/>
        <v>-10666.77</v>
      </c>
      <c r="Y36" s="3"/>
      <c r="Z36" s="7">
        <f t="shared" si="7"/>
        <v>-0.58608626373626371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111991.66</v>
      </c>
      <c r="E37" s="2"/>
      <c r="F37" s="6">
        <f t="shared" si="0"/>
        <v>0.16518809606645024</v>
      </c>
      <c r="G37" s="2"/>
      <c r="H37" s="2">
        <f>SUM(OSRRefH22_1x_0)</f>
        <v>126673.3610307692</v>
      </c>
      <c r="I37" s="2"/>
      <c r="J37" s="6">
        <f t="shared" si="1"/>
        <v>0.22848730344655338</v>
      </c>
      <c r="K37" s="2"/>
      <c r="L37" s="2">
        <f t="shared" si="2"/>
        <v>-14681.701030769196</v>
      </c>
      <c r="M37" s="2"/>
      <c r="N37" s="6">
        <f t="shared" si="3"/>
        <v>-0.11590204058138935</v>
      </c>
      <c r="O37" s="14"/>
      <c r="P37" s="2">
        <f>SUM(OSRRefP22_1x_0)</f>
        <v>714701.93</v>
      </c>
      <c r="Q37" s="2"/>
      <c r="R37" s="6">
        <f t="shared" si="4"/>
        <v>0.18566242848138648</v>
      </c>
      <c r="S37" s="2"/>
      <c r="T37" s="2">
        <f>SUM(OSRRefT22_1x_0)</f>
        <v>851167.98801923008</v>
      </c>
      <c r="U37" s="2"/>
      <c r="V37" s="6">
        <f t="shared" si="5"/>
        <v>0.28469061074962543</v>
      </c>
      <c r="W37" s="2"/>
      <c r="X37" s="2">
        <f t="shared" si="6"/>
        <v>-136466.05801923003</v>
      </c>
      <c r="Y37" s="2"/>
      <c r="Z37" s="6">
        <f t="shared" si="7"/>
        <v>-0.16032799628285235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11464.56</v>
      </c>
      <c r="E39" s="3"/>
      <c r="F39" s="7">
        <f t="shared" si="0"/>
        <v>1.6910266698784381E-2</v>
      </c>
      <c r="G39" s="3"/>
      <c r="H39" s="8">
        <v>15375.239430769199</v>
      </c>
      <c r="I39" s="3"/>
      <c r="J39" s="7">
        <f t="shared" si="1"/>
        <v>2.77331158563658E-2</v>
      </c>
      <c r="K39" s="3"/>
      <c r="L39" s="8">
        <f t="shared" si="2"/>
        <v>-3910.6794307691998</v>
      </c>
      <c r="M39" s="3"/>
      <c r="N39" s="7">
        <f t="shared" si="3"/>
        <v>-0.25434917279682029</v>
      </c>
      <c r="O39" s="12"/>
      <c r="P39" s="8">
        <v>130069.02</v>
      </c>
      <c r="Q39" s="3"/>
      <c r="R39" s="7">
        <f t="shared" si="4"/>
        <v>3.3788813363627025E-2</v>
      </c>
      <c r="S39" s="3"/>
      <c r="T39" s="8">
        <v>134533.34501923001</v>
      </c>
      <c r="U39" s="3"/>
      <c r="V39" s="7">
        <f t="shared" si="5"/>
        <v>4.499743963450064E-2</v>
      </c>
      <c r="W39" s="3"/>
      <c r="X39" s="8">
        <f t="shared" si="6"/>
        <v>-4464.3250192300038</v>
      </c>
      <c r="Y39" s="3"/>
      <c r="Z39" s="7">
        <f t="shared" si="7"/>
        <v>-3.3183780709473025E-2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8">
        <v>34584.019999999997</v>
      </c>
      <c r="E41" s="3"/>
      <c r="F41" s="7">
        <f t="shared" si="0"/>
        <v>5.1011552272053437E-2</v>
      </c>
      <c r="G41" s="3"/>
      <c r="H41" s="8">
        <v>26709.4656</v>
      </c>
      <c r="I41" s="3"/>
      <c r="J41" s="7">
        <f t="shared" si="1"/>
        <v>4.817724675324675E-2</v>
      </c>
      <c r="K41" s="3"/>
      <c r="L41" s="8">
        <f t="shared" si="2"/>
        <v>7874.5543999999973</v>
      </c>
      <c r="M41" s="3"/>
      <c r="N41" s="7">
        <f t="shared" si="3"/>
        <v>0.29482261150144456</v>
      </c>
      <c r="O41" s="12"/>
      <c r="P41" s="8">
        <v>228563.7</v>
      </c>
      <c r="Q41" s="3"/>
      <c r="R41" s="7">
        <f t="shared" si="4"/>
        <v>5.9375370099659694E-2</v>
      </c>
      <c r="S41" s="3"/>
      <c r="T41" s="8">
        <v>233707.82399999999</v>
      </c>
      <c r="U41" s="3"/>
      <c r="V41" s="7">
        <f t="shared" si="5"/>
        <v>7.816838049367851E-2</v>
      </c>
      <c r="W41" s="3"/>
      <c r="X41" s="8">
        <f t="shared" si="6"/>
        <v>-5144.1239999999816</v>
      </c>
      <c r="Y41" s="3"/>
      <c r="Z41" s="7">
        <f t="shared" si="7"/>
        <v>-2.2010919069615664E-2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8">
        <v>22991.58</v>
      </c>
      <c r="E42" s="3"/>
      <c r="F42" s="7">
        <f t="shared" si="0"/>
        <v>3.3912662119299566E-2</v>
      </c>
      <c r="G42" s="3"/>
      <c r="H42" s="8">
        <v>17834.419999999998</v>
      </c>
      <c r="I42" s="3"/>
      <c r="J42" s="7">
        <f t="shared" si="1"/>
        <v>3.2168867243867243E-2</v>
      </c>
      <c r="K42" s="3"/>
      <c r="L42" s="8">
        <f t="shared" si="2"/>
        <v>5157.1600000000035</v>
      </c>
      <c r="M42" s="3"/>
      <c r="N42" s="7">
        <f t="shared" si="3"/>
        <v>0.28916892166944619</v>
      </c>
      <c r="O42" s="12"/>
      <c r="P42" s="8">
        <v>137593.98000000001</v>
      </c>
      <c r="Q42" s="3"/>
      <c r="R42" s="7">
        <f t="shared" si="4"/>
        <v>3.5743617582254639E-2</v>
      </c>
      <c r="S42" s="3"/>
      <c r="T42" s="8">
        <v>108815.08500000001</v>
      </c>
      <c r="U42" s="3"/>
      <c r="V42" s="7">
        <f t="shared" si="5"/>
        <v>3.6395439494280556E-2</v>
      </c>
      <c r="W42" s="3"/>
      <c r="X42" s="8">
        <f t="shared" si="6"/>
        <v>28778.895000000004</v>
      </c>
      <c r="Y42" s="3"/>
      <c r="Z42" s="7">
        <f t="shared" si="7"/>
        <v>0.26447523337412271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8">
        <v>644.6</v>
      </c>
      <c r="E43" s="3"/>
      <c r="F43" s="7">
        <f t="shared" si="0"/>
        <v>9.5078728830730634E-4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644.6</v>
      </c>
      <c r="M43" s="3"/>
      <c r="N43" s="7">
        <f t="shared" si="3"/>
        <v>0</v>
      </c>
      <c r="O43" s="12"/>
      <c r="P43" s="8">
        <v>644.6</v>
      </c>
      <c r="Q43" s="3"/>
      <c r="R43" s="7">
        <f t="shared" si="4"/>
        <v>1.6745162756045967E-4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644.6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8">
        <v>20308.3</v>
      </c>
      <c r="E44" s="3"/>
      <c r="F44" s="7">
        <f t="shared" si="0"/>
        <v>2.9954814593750028E-2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20308.3</v>
      </c>
      <c r="M44" s="3"/>
      <c r="N44" s="7">
        <f t="shared" si="3"/>
        <v>0</v>
      </c>
      <c r="O44" s="12"/>
      <c r="P44" s="8">
        <v>154762.07999999999</v>
      </c>
      <c r="Q44" s="3"/>
      <c r="R44" s="7">
        <f t="shared" si="4"/>
        <v>4.0203478406208595E-2</v>
      </c>
      <c r="S44" s="3"/>
      <c r="T44" s="8">
        <v>30264</v>
      </c>
      <c r="U44" s="3"/>
      <c r="V44" s="7">
        <f t="shared" si="5"/>
        <v>1.0122416215131448E-2</v>
      </c>
      <c r="W44" s="3"/>
      <c r="X44" s="8">
        <f t="shared" si="6"/>
        <v>124498.07999999999</v>
      </c>
      <c r="Y44" s="3"/>
      <c r="Z44" s="7">
        <f t="shared" si="7"/>
        <v>4.1137351308485322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8">
        <v>21998.6</v>
      </c>
      <c r="E45" s="3"/>
      <c r="F45" s="7">
        <f t="shared" si="0"/>
        <v>3.2448013094255518E-2</v>
      </c>
      <c r="G45" s="3"/>
      <c r="H45" s="8">
        <v>66754.236000000004</v>
      </c>
      <c r="I45" s="3"/>
      <c r="J45" s="7">
        <f t="shared" si="1"/>
        <v>0.12040807359307359</v>
      </c>
      <c r="K45" s="3"/>
      <c r="L45" s="8">
        <f t="shared" si="2"/>
        <v>-44755.636000000006</v>
      </c>
      <c r="M45" s="3"/>
      <c r="N45" s="7">
        <f t="shared" si="3"/>
        <v>-0.67045387202094564</v>
      </c>
      <c r="O45" s="12"/>
      <c r="P45" s="8">
        <v>63068.55</v>
      </c>
      <c r="Q45" s="3"/>
      <c r="R45" s="7">
        <f t="shared" si="4"/>
        <v>1.6383697402076063E-2</v>
      </c>
      <c r="S45" s="3"/>
      <c r="T45" s="8">
        <v>343847.734</v>
      </c>
      <c r="U45" s="3"/>
      <c r="V45" s="7">
        <f t="shared" si="5"/>
        <v>0.11500693491203424</v>
      </c>
      <c r="W45" s="3"/>
      <c r="X45" s="8">
        <f t="shared" si="6"/>
        <v>-280779.18400000001</v>
      </c>
      <c r="Y45" s="3"/>
      <c r="Z45" s="7">
        <f t="shared" si="7"/>
        <v>-0.81658000398513608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0</v>
      </c>
      <c r="E48" s="2"/>
      <c r="F48" s="6">
        <f t="shared" si="0"/>
        <v>0</v>
      </c>
      <c r="G48" s="2"/>
      <c r="H48" s="2">
        <f>SUM(OSRRefH22_2x_0)</f>
        <v>369</v>
      </c>
      <c r="I48" s="2"/>
      <c r="J48" s="6">
        <f t="shared" si="1"/>
        <v>6.6558441558441561E-4</v>
      </c>
      <c r="K48" s="2"/>
      <c r="L48" s="2">
        <f t="shared" si="2"/>
        <v>-369</v>
      </c>
      <c r="M48" s="2"/>
      <c r="N48" s="6">
        <f t="shared" si="3"/>
        <v>-1</v>
      </c>
      <c r="O48" s="14"/>
      <c r="P48" s="2">
        <f>SUM(OSRRefP22_2x_0)</f>
        <v>1037.69</v>
      </c>
      <c r="Q48" s="2"/>
      <c r="R48" s="6">
        <f t="shared" si="4"/>
        <v>2.6956698635310797E-4</v>
      </c>
      <c r="S48" s="2"/>
      <c r="T48" s="2">
        <f>SUM(OSRRefT22_2x_0)</f>
        <v>2952</v>
      </c>
      <c r="U48" s="2"/>
      <c r="V48" s="6">
        <f t="shared" si="5"/>
        <v>9.8735701384708007E-4</v>
      </c>
      <c r="W48" s="2"/>
      <c r="X48" s="2">
        <f t="shared" si="6"/>
        <v>-1914.31</v>
      </c>
      <c r="Y48" s="2"/>
      <c r="Z48" s="6">
        <f t="shared" si="7"/>
        <v>-0.64847899728997294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/>
      <c r="E49" s="3"/>
      <c r="F49" s="7">
        <f t="shared" si="0"/>
        <v>0</v>
      </c>
      <c r="G49" s="3"/>
      <c r="H49" s="8">
        <v>369</v>
      </c>
      <c r="I49" s="3"/>
      <c r="J49" s="7">
        <f t="shared" si="1"/>
        <v>6.6558441558441561E-4</v>
      </c>
      <c r="K49" s="3"/>
      <c r="L49" s="8">
        <f t="shared" si="2"/>
        <v>-369</v>
      </c>
      <c r="M49" s="3"/>
      <c r="N49" s="7">
        <f t="shared" si="3"/>
        <v>-1</v>
      </c>
      <c r="O49" s="12"/>
      <c r="P49" s="8">
        <v>1037.69</v>
      </c>
      <c r="Q49" s="3"/>
      <c r="R49" s="7">
        <f t="shared" si="4"/>
        <v>2.6956698635310797E-4</v>
      </c>
      <c r="S49" s="3"/>
      <c r="T49" s="8">
        <v>2952</v>
      </c>
      <c r="U49" s="3"/>
      <c r="V49" s="7">
        <f t="shared" si="5"/>
        <v>9.8735701384708007E-4</v>
      </c>
      <c r="W49" s="3"/>
      <c r="X49" s="8">
        <f t="shared" si="6"/>
        <v>-1914.31</v>
      </c>
      <c r="Y49" s="3"/>
      <c r="Z49" s="7">
        <f t="shared" si="7"/>
        <v>-0.64847899728997294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-9.1</v>
      </c>
      <c r="E50" s="2"/>
      <c r="F50" s="6">
        <f t="shared" si="0"/>
        <v>-1.3422532304679626E-5</v>
      </c>
      <c r="G50" s="2"/>
      <c r="H50" s="2">
        <f>SUM(OSRRefH22_3x_0)</f>
        <v>8</v>
      </c>
      <c r="I50" s="2"/>
      <c r="J50" s="6">
        <f t="shared" si="1"/>
        <v>1.443001443001443E-5</v>
      </c>
      <c r="K50" s="2"/>
      <c r="L50" s="2">
        <f t="shared" si="2"/>
        <v>-17.100000000000001</v>
      </c>
      <c r="M50" s="2"/>
      <c r="N50" s="6">
        <f t="shared" si="3"/>
        <v>-2.1375000000000002</v>
      </c>
      <c r="O50" s="14"/>
      <c r="P50" s="2">
        <f>SUM(OSRRefP22_3x_0)</f>
        <v>0</v>
      </c>
      <c r="Q50" s="2"/>
      <c r="R50" s="6">
        <f t="shared" si="4"/>
        <v>0</v>
      </c>
      <c r="S50" s="2"/>
      <c r="T50" s="2">
        <f>SUM(OSRRefT22_3x_0)</f>
        <v>56</v>
      </c>
      <c r="U50" s="2"/>
      <c r="V50" s="6">
        <f t="shared" si="5"/>
        <v>1.8730349856177671E-5</v>
      </c>
      <c r="W50" s="2"/>
      <c r="X50" s="2">
        <f t="shared" si="6"/>
        <v>-56</v>
      </c>
      <c r="Y50" s="2"/>
      <c r="Z50" s="6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8">
        <v>-9.1</v>
      </c>
      <c r="E51" s="3"/>
      <c r="F51" s="7">
        <f t="shared" si="0"/>
        <v>-1.3422532304679626E-5</v>
      </c>
      <c r="G51" s="3"/>
      <c r="H51" s="8">
        <v>8</v>
      </c>
      <c r="I51" s="3"/>
      <c r="J51" s="7">
        <f t="shared" si="1"/>
        <v>1.443001443001443E-5</v>
      </c>
      <c r="K51" s="3"/>
      <c r="L51" s="8">
        <f t="shared" si="2"/>
        <v>-17.100000000000001</v>
      </c>
      <c r="M51" s="3"/>
      <c r="N51" s="7">
        <f t="shared" si="3"/>
        <v>-2.1375000000000002</v>
      </c>
      <c r="O51" s="12"/>
      <c r="P51" s="8">
        <v>0</v>
      </c>
      <c r="Q51" s="3"/>
      <c r="R51" s="7">
        <f t="shared" si="4"/>
        <v>0</v>
      </c>
      <c r="S51" s="3"/>
      <c r="T51" s="8">
        <v>56</v>
      </c>
      <c r="U51" s="3"/>
      <c r="V51" s="7">
        <f t="shared" si="5"/>
        <v>1.8730349856177671E-5</v>
      </c>
      <c r="W51" s="3"/>
      <c r="X51" s="8">
        <f t="shared" si="6"/>
        <v>-56</v>
      </c>
      <c r="Y51" s="3"/>
      <c r="Z51" s="7">
        <f t="shared" si="7"/>
        <v>-1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72.959999999999994</v>
      </c>
      <c r="E52" s="2"/>
      <c r="F52" s="6">
        <f t="shared" si="0"/>
        <v>1.0761625900543138E-4</v>
      </c>
      <c r="G52" s="2"/>
      <c r="H52" s="2">
        <f>SUM(OSRRefH22_4x_0)</f>
        <v>135</v>
      </c>
      <c r="I52" s="2"/>
      <c r="J52" s="6">
        <f t="shared" si="1"/>
        <v>2.4350649350649351E-4</v>
      </c>
      <c r="K52" s="2"/>
      <c r="L52" s="2">
        <f t="shared" si="2"/>
        <v>-62.040000000000006</v>
      </c>
      <c r="M52" s="2"/>
      <c r="N52" s="6">
        <f t="shared" si="3"/>
        <v>-0.45955555555555561</v>
      </c>
      <c r="O52" s="14"/>
      <c r="P52" s="2">
        <f>SUM(OSRRefP22_4x_0)</f>
        <v>424.99</v>
      </c>
      <c r="Q52" s="2"/>
      <c r="R52" s="6">
        <f t="shared" si="4"/>
        <v>1.1040221408147651E-4</v>
      </c>
      <c r="S52" s="2"/>
      <c r="T52" s="2">
        <f>SUM(OSRRefT22_4x_0)</f>
        <v>1080</v>
      </c>
      <c r="U52" s="2"/>
      <c r="V52" s="6">
        <f t="shared" si="5"/>
        <v>3.6122817579771222E-4</v>
      </c>
      <c r="W52" s="2"/>
      <c r="X52" s="2">
        <f t="shared" si="6"/>
        <v>-655.01</v>
      </c>
      <c r="Y52" s="2"/>
      <c r="Z52" s="6">
        <f t="shared" si="7"/>
        <v>-0.60649074074074072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8">
        <v>72.959999999999994</v>
      </c>
      <c r="E53" s="3"/>
      <c r="F53" s="7">
        <f t="shared" si="0"/>
        <v>1.0761625900543138E-4</v>
      </c>
      <c r="G53" s="3"/>
      <c r="H53" s="8">
        <v>135</v>
      </c>
      <c r="I53" s="3"/>
      <c r="J53" s="7">
        <f t="shared" si="1"/>
        <v>2.4350649350649351E-4</v>
      </c>
      <c r="K53" s="3"/>
      <c r="L53" s="8">
        <f t="shared" si="2"/>
        <v>-62.040000000000006</v>
      </c>
      <c r="M53" s="3"/>
      <c r="N53" s="7">
        <f t="shared" si="3"/>
        <v>-0.45955555555555561</v>
      </c>
      <c r="O53" s="12"/>
      <c r="P53" s="8">
        <v>424.99</v>
      </c>
      <c r="Q53" s="3"/>
      <c r="R53" s="7">
        <f t="shared" si="4"/>
        <v>1.1040221408147651E-4</v>
      </c>
      <c r="S53" s="3"/>
      <c r="T53" s="8">
        <v>1080</v>
      </c>
      <c r="U53" s="3"/>
      <c r="V53" s="7">
        <f t="shared" si="5"/>
        <v>3.6122817579771222E-4</v>
      </c>
      <c r="W53" s="3"/>
      <c r="X53" s="8">
        <f t="shared" si="6"/>
        <v>-655.01</v>
      </c>
      <c r="Y53" s="3"/>
      <c r="Z53" s="7">
        <f t="shared" si="7"/>
        <v>-0.60649074074074072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4.0342822095087083E-4</v>
      </c>
      <c r="G54" s="2"/>
      <c r="H54" s="2">
        <f>SUM(OSRRefH22_5x_0)</f>
        <v>273</v>
      </c>
      <c r="I54" s="2"/>
      <c r="J54" s="6">
        <f t="shared" si="1"/>
        <v>4.9242424242424245E-4</v>
      </c>
      <c r="K54" s="2"/>
      <c r="L54" s="2">
        <f t="shared" si="2"/>
        <v>0.50999999999999091</v>
      </c>
      <c r="M54" s="2"/>
      <c r="N54" s="6">
        <f t="shared" si="3"/>
        <v>1.8681318681318347E-3</v>
      </c>
      <c r="O54" s="14"/>
      <c r="P54" s="2">
        <f>SUM(OSRRefP22_5x_0)</f>
        <v>2188.08</v>
      </c>
      <c r="Q54" s="2"/>
      <c r="R54" s="6">
        <f t="shared" si="4"/>
        <v>5.6841073104637078E-4</v>
      </c>
      <c r="S54" s="2"/>
      <c r="T54" s="2">
        <f>SUM(OSRRefT22_5x_0)</f>
        <v>2184</v>
      </c>
      <c r="U54" s="2"/>
      <c r="V54" s="6">
        <f t="shared" si="5"/>
        <v>7.3048364439092916E-4</v>
      </c>
      <c r="W54" s="2"/>
      <c r="X54" s="2">
        <f t="shared" si="6"/>
        <v>4.0799999999999272</v>
      </c>
      <c r="Y54" s="2"/>
      <c r="Z54" s="6">
        <f t="shared" si="7"/>
        <v>1.8681318681318347E-3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273.51</v>
      </c>
      <c r="E55" s="3"/>
      <c r="F55" s="7">
        <f t="shared" si="0"/>
        <v>4.0342822095087083E-4</v>
      </c>
      <c r="G55" s="3"/>
      <c r="H55" s="8">
        <v>273</v>
      </c>
      <c r="I55" s="3"/>
      <c r="J55" s="7">
        <f t="shared" si="1"/>
        <v>4.9242424242424245E-4</v>
      </c>
      <c r="K55" s="3"/>
      <c r="L55" s="8">
        <f t="shared" si="2"/>
        <v>0.50999999999999091</v>
      </c>
      <c r="M55" s="3"/>
      <c r="N55" s="7">
        <f t="shared" si="3"/>
        <v>1.8681318681318347E-3</v>
      </c>
      <c r="O55" s="12"/>
      <c r="P55" s="8">
        <v>2188.08</v>
      </c>
      <c r="Q55" s="3"/>
      <c r="R55" s="7">
        <f t="shared" si="4"/>
        <v>5.6841073104637078E-4</v>
      </c>
      <c r="S55" s="3"/>
      <c r="T55" s="8">
        <v>2184</v>
      </c>
      <c r="U55" s="3"/>
      <c r="V55" s="7">
        <f t="shared" si="5"/>
        <v>7.3048364439092916E-4</v>
      </c>
      <c r="W55" s="3"/>
      <c r="X55" s="8">
        <f t="shared" si="6"/>
        <v>4.0799999999999272</v>
      </c>
      <c r="Y55" s="3"/>
      <c r="Z55" s="7">
        <f t="shared" si="7"/>
        <v>1.8681318681318347E-3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2875.93</v>
      </c>
      <c r="E56" s="2"/>
      <c r="F56" s="6">
        <f t="shared" si="0"/>
        <v>4.2420069594502506E-3</v>
      </c>
      <c r="G56" s="2"/>
      <c r="H56" s="2">
        <f>SUM(OSRRefH22_6x_0)</f>
        <v>6500</v>
      </c>
      <c r="I56" s="2"/>
      <c r="J56" s="6">
        <f t="shared" si="1"/>
        <v>1.1724386724386724E-2</v>
      </c>
      <c r="K56" s="2"/>
      <c r="L56" s="2">
        <f t="shared" si="2"/>
        <v>-3624.07</v>
      </c>
      <c r="M56" s="2"/>
      <c r="N56" s="6">
        <f t="shared" si="3"/>
        <v>-0.5575492307692308</v>
      </c>
      <c r="O56" s="14"/>
      <c r="P56" s="2">
        <f>SUM(OSRRefP22_6x_0)</f>
        <v>16331.18</v>
      </c>
      <c r="Q56" s="2"/>
      <c r="R56" s="6">
        <f t="shared" si="4"/>
        <v>4.242449070714905E-3</v>
      </c>
      <c r="S56" s="2"/>
      <c r="T56" s="2">
        <f>SUM(OSRRefT22_6x_0)</f>
        <v>45500</v>
      </c>
      <c r="U56" s="2"/>
      <c r="V56" s="6">
        <f t="shared" si="5"/>
        <v>1.5218409258144357E-2</v>
      </c>
      <c r="W56" s="2"/>
      <c r="X56" s="2">
        <f t="shared" si="6"/>
        <v>-29168.82</v>
      </c>
      <c r="Y56" s="2"/>
      <c r="Z56" s="6">
        <f t="shared" si="7"/>
        <v>-0.64107296703296701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8">
        <v>2875.93</v>
      </c>
      <c r="E57" s="3"/>
      <c r="F57" s="7">
        <f t="shared" ref="F57:F89" si="8">IF(D$12=0,0,D57/D$12)</f>
        <v>4.2420069594502506E-3</v>
      </c>
      <c r="G57" s="3"/>
      <c r="H57" s="8">
        <v>6500</v>
      </c>
      <c r="I57" s="3"/>
      <c r="J57" s="7">
        <f t="shared" ref="J57:J89" si="9">IF(H$12=0,0,H57/H$12)</f>
        <v>1.1724386724386724E-2</v>
      </c>
      <c r="K57" s="3"/>
      <c r="L57" s="8">
        <f t="shared" ref="L57:L89" si="10">+D57-H57</f>
        <v>-3624.07</v>
      </c>
      <c r="M57" s="3"/>
      <c r="N57" s="7">
        <f t="shared" ref="N57:N89" si="11">IF(H57=0,0,L57/H57)</f>
        <v>-0.5575492307692308</v>
      </c>
      <c r="O57" s="12"/>
      <c r="P57" s="8">
        <v>16331.18</v>
      </c>
      <c r="Q57" s="3"/>
      <c r="R57" s="7">
        <f t="shared" ref="R57:R89" si="12">IF(P$12=0,0,P57/P$12)</f>
        <v>4.242449070714905E-3</v>
      </c>
      <c r="S57" s="3"/>
      <c r="T57" s="8">
        <v>45500</v>
      </c>
      <c r="U57" s="3"/>
      <c r="V57" s="7">
        <f t="shared" ref="V57:V89" si="13">IF(T$12=0,0,T57/T$12)</f>
        <v>1.5218409258144357E-2</v>
      </c>
      <c r="W57" s="3"/>
      <c r="X57" s="8">
        <f t="shared" ref="X57:X89" si="14">+P57-T57</f>
        <v>-29168.82</v>
      </c>
      <c r="Y57" s="3"/>
      <c r="Z57" s="7">
        <f t="shared" ref="Z57:Z89" si="15">IF(T57=0,0,X57/T57)</f>
        <v>-0.64107296703296701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87.37</v>
      </c>
      <c r="E58" s="2"/>
      <c r="F58" s="6">
        <f t="shared" si="8"/>
        <v>1.2887106016042408E-4</v>
      </c>
      <c r="G58" s="2"/>
      <c r="H58" s="2">
        <f>SUM(OSRRefH22_7x_0)</f>
        <v>150</v>
      </c>
      <c r="I58" s="2"/>
      <c r="J58" s="6">
        <f t="shared" si="9"/>
        <v>2.7056277056277056E-4</v>
      </c>
      <c r="K58" s="2"/>
      <c r="L58" s="2">
        <f t="shared" si="10"/>
        <v>-62.629999999999995</v>
      </c>
      <c r="M58" s="2"/>
      <c r="N58" s="6">
        <f t="shared" si="11"/>
        <v>-0.41753333333333331</v>
      </c>
      <c r="O58" s="14"/>
      <c r="P58" s="2">
        <f>SUM(OSRRefP22_7x_0)</f>
        <v>200.77</v>
      </c>
      <c r="Q58" s="2"/>
      <c r="R58" s="6">
        <f t="shared" si="12"/>
        <v>5.2155233114045128E-5</v>
      </c>
      <c r="S58" s="2"/>
      <c r="T58" s="2">
        <f>SUM(OSRRefT22_7x_0)</f>
        <v>1200</v>
      </c>
      <c r="U58" s="2"/>
      <c r="V58" s="6">
        <f t="shared" si="13"/>
        <v>4.013646397752358E-4</v>
      </c>
      <c r="W58" s="2"/>
      <c r="X58" s="2">
        <f t="shared" si="14"/>
        <v>-999.23</v>
      </c>
      <c r="Y58" s="2"/>
      <c r="Z58" s="6">
        <f t="shared" si="15"/>
        <v>-0.83269166666666672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8">
        <v>87.37</v>
      </c>
      <c r="E59" s="3"/>
      <c r="F59" s="7">
        <f t="shared" si="8"/>
        <v>1.2887106016042408E-4</v>
      </c>
      <c r="G59" s="3"/>
      <c r="H59" s="8">
        <v>150</v>
      </c>
      <c r="I59" s="3"/>
      <c r="J59" s="7">
        <f t="shared" si="9"/>
        <v>2.7056277056277056E-4</v>
      </c>
      <c r="K59" s="3"/>
      <c r="L59" s="8">
        <f t="shared" si="10"/>
        <v>-62.629999999999995</v>
      </c>
      <c r="M59" s="3"/>
      <c r="N59" s="7">
        <f t="shared" si="11"/>
        <v>-0.41753333333333331</v>
      </c>
      <c r="O59" s="12"/>
      <c r="P59" s="8">
        <v>200.77</v>
      </c>
      <c r="Q59" s="3"/>
      <c r="R59" s="7">
        <f t="shared" si="12"/>
        <v>5.2155233114045128E-5</v>
      </c>
      <c r="S59" s="3"/>
      <c r="T59" s="8">
        <v>1200</v>
      </c>
      <c r="U59" s="3"/>
      <c r="V59" s="7">
        <f t="shared" si="13"/>
        <v>4.013646397752358E-4</v>
      </c>
      <c r="W59" s="3"/>
      <c r="X59" s="8">
        <f t="shared" si="14"/>
        <v>-999.23</v>
      </c>
      <c r="Y59" s="3"/>
      <c r="Z59" s="7">
        <f t="shared" si="15"/>
        <v>-0.83269166666666672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378.12</v>
      </c>
      <c r="E60" s="2"/>
      <c r="F60" s="6">
        <f t="shared" si="8"/>
        <v>5.5772834231268803E-4</v>
      </c>
      <c r="G60" s="2"/>
      <c r="H60" s="2">
        <f>SUM(OSRRefH22_8x_0)</f>
        <v>295</v>
      </c>
      <c r="I60" s="2"/>
      <c r="J60" s="6">
        <f t="shared" si="9"/>
        <v>5.3210678210678208E-4</v>
      </c>
      <c r="K60" s="2"/>
      <c r="L60" s="2">
        <f t="shared" si="10"/>
        <v>83.12</v>
      </c>
      <c r="M60" s="2"/>
      <c r="N60" s="6">
        <f t="shared" si="11"/>
        <v>0.28176271186440677</v>
      </c>
      <c r="O60" s="14"/>
      <c r="P60" s="2">
        <f>SUM(OSRRefP22_8x_0)</f>
        <v>2596.5100000000002</v>
      </c>
      <c r="Q60" s="2"/>
      <c r="R60" s="6">
        <f t="shared" si="12"/>
        <v>6.7451105410643681E-4</v>
      </c>
      <c r="S60" s="2"/>
      <c r="T60" s="2">
        <f>SUM(OSRRefT22_8x_0)</f>
        <v>2360</v>
      </c>
      <c r="U60" s="2"/>
      <c r="V60" s="6">
        <f t="shared" si="13"/>
        <v>7.8935045822463041E-4</v>
      </c>
      <c r="W60" s="2"/>
      <c r="X60" s="2">
        <f t="shared" si="14"/>
        <v>236.51000000000022</v>
      </c>
      <c r="Y60" s="2"/>
      <c r="Z60" s="6">
        <f t="shared" si="15"/>
        <v>0.10021610169491535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8">
        <v>378.12</v>
      </c>
      <c r="E61" s="3"/>
      <c r="F61" s="7">
        <f t="shared" si="8"/>
        <v>5.5772834231268803E-4</v>
      </c>
      <c r="G61" s="3"/>
      <c r="H61" s="8">
        <v>295</v>
      </c>
      <c r="I61" s="3"/>
      <c r="J61" s="7">
        <f t="shared" si="9"/>
        <v>5.3210678210678208E-4</v>
      </c>
      <c r="K61" s="3"/>
      <c r="L61" s="8">
        <f t="shared" si="10"/>
        <v>83.12</v>
      </c>
      <c r="M61" s="3"/>
      <c r="N61" s="7">
        <f t="shared" si="11"/>
        <v>0.28176271186440677</v>
      </c>
      <c r="O61" s="12"/>
      <c r="P61" s="8">
        <v>2596.5100000000002</v>
      </c>
      <c r="Q61" s="3"/>
      <c r="R61" s="7">
        <f t="shared" si="12"/>
        <v>6.7451105410643681E-4</v>
      </c>
      <c r="S61" s="3"/>
      <c r="T61" s="8">
        <v>2360</v>
      </c>
      <c r="U61" s="3"/>
      <c r="V61" s="7">
        <f t="shared" si="13"/>
        <v>7.8935045822463041E-4</v>
      </c>
      <c r="W61" s="3"/>
      <c r="X61" s="8">
        <f t="shared" si="14"/>
        <v>236.51000000000022</v>
      </c>
      <c r="Y61" s="3"/>
      <c r="Z61" s="7">
        <f t="shared" si="15"/>
        <v>0.10021610169491535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0</v>
      </c>
      <c r="E62" s="2"/>
      <c r="F62" s="6">
        <f t="shared" si="8"/>
        <v>0</v>
      </c>
      <c r="G62" s="2"/>
      <c r="H62" s="2">
        <f>SUM(OSRRefH22_9x_0)</f>
        <v>180</v>
      </c>
      <c r="I62" s="2"/>
      <c r="J62" s="6">
        <f t="shared" si="9"/>
        <v>3.2467532467532468E-4</v>
      </c>
      <c r="K62" s="2"/>
      <c r="L62" s="2">
        <f t="shared" si="10"/>
        <v>-180</v>
      </c>
      <c r="M62" s="2"/>
      <c r="N62" s="6">
        <f t="shared" si="11"/>
        <v>-1</v>
      </c>
      <c r="O62" s="14"/>
      <c r="P62" s="2">
        <f>SUM(OSRRefP22_9x_0)</f>
        <v>1926.18</v>
      </c>
      <c r="Q62" s="2"/>
      <c r="R62" s="6">
        <f t="shared" si="12"/>
        <v>5.0037538934906336E-4</v>
      </c>
      <c r="S62" s="2"/>
      <c r="T62" s="2">
        <f>SUM(OSRRefT22_9x_0)</f>
        <v>3040</v>
      </c>
      <c r="U62" s="2"/>
      <c r="V62" s="6">
        <f t="shared" si="13"/>
        <v>1.0167904207639307E-3</v>
      </c>
      <c r="W62" s="2"/>
      <c r="X62" s="2">
        <f t="shared" si="14"/>
        <v>-1113.82</v>
      </c>
      <c r="Y62" s="2"/>
      <c r="Z62" s="6">
        <f t="shared" si="15"/>
        <v>-0.36638815789473683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8"/>
      <c r="E63" s="3"/>
      <c r="F63" s="7">
        <f t="shared" si="8"/>
        <v>0</v>
      </c>
      <c r="G63" s="3"/>
      <c r="H63" s="8">
        <v>180</v>
      </c>
      <c r="I63" s="3"/>
      <c r="J63" s="7">
        <f t="shared" si="9"/>
        <v>3.2467532467532468E-4</v>
      </c>
      <c r="K63" s="3"/>
      <c r="L63" s="8">
        <f t="shared" si="10"/>
        <v>-180</v>
      </c>
      <c r="M63" s="3"/>
      <c r="N63" s="7">
        <f t="shared" si="11"/>
        <v>-1</v>
      </c>
      <c r="O63" s="12"/>
      <c r="P63" s="8">
        <v>1926.18</v>
      </c>
      <c r="Q63" s="3"/>
      <c r="R63" s="7">
        <f t="shared" si="12"/>
        <v>5.0037538934906336E-4</v>
      </c>
      <c r="S63" s="3"/>
      <c r="T63" s="8">
        <v>3040</v>
      </c>
      <c r="U63" s="3"/>
      <c r="V63" s="7">
        <f t="shared" si="13"/>
        <v>1.0167904207639307E-3</v>
      </c>
      <c r="W63" s="3"/>
      <c r="X63" s="8">
        <f t="shared" si="14"/>
        <v>-1113.82</v>
      </c>
      <c r="Y63" s="3"/>
      <c r="Z63" s="7">
        <f t="shared" si="15"/>
        <v>-0.36638815789473683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53856.19</v>
      </c>
      <c r="E64" s="2"/>
      <c r="F64" s="6">
        <f t="shared" si="8"/>
        <v>7.9438071437578459E-2</v>
      </c>
      <c r="G64" s="2"/>
      <c r="H64" s="2">
        <f>SUM(OSRRefH22_10x_0)</f>
        <v>44352</v>
      </c>
      <c r="I64" s="2"/>
      <c r="J64" s="6">
        <f t="shared" si="9"/>
        <v>0.08</v>
      </c>
      <c r="K64" s="2"/>
      <c r="L64" s="2">
        <f t="shared" si="10"/>
        <v>9504.1900000000023</v>
      </c>
      <c r="M64" s="2"/>
      <c r="N64" s="6">
        <f t="shared" si="11"/>
        <v>0.21428999819624825</v>
      </c>
      <c r="O64" s="14"/>
      <c r="P64" s="2">
        <f>SUM(OSRRefP22_10x_0)</f>
        <v>302787.19</v>
      </c>
      <c r="Q64" s="2"/>
      <c r="R64" s="6">
        <f t="shared" si="12"/>
        <v>7.8656853505985322E-2</v>
      </c>
      <c r="S64" s="2"/>
      <c r="T64" s="2">
        <f>SUM(OSRRefT22_10x_0)</f>
        <v>237024</v>
      </c>
      <c r="U64" s="2"/>
      <c r="V64" s="6">
        <f t="shared" si="13"/>
        <v>7.9277543648404572E-2</v>
      </c>
      <c r="W64" s="2"/>
      <c r="X64" s="2">
        <f t="shared" si="14"/>
        <v>65763.19</v>
      </c>
      <c r="Y64" s="2"/>
      <c r="Z64" s="6">
        <f t="shared" si="15"/>
        <v>0.27745371776697719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8">
        <v>53856.19</v>
      </c>
      <c r="E65" s="3"/>
      <c r="F65" s="7">
        <f t="shared" si="8"/>
        <v>7.9438071437578459E-2</v>
      </c>
      <c r="G65" s="3"/>
      <c r="H65" s="8">
        <v>44352</v>
      </c>
      <c r="I65" s="3"/>
      <c r="J65" s="7">
        <f t="shared" si="9"/>
        <v>0.08</v>
      </c>
      <c r="K65" s="3"/>
      <c r="L65" s="8">
        <f t="shared" si="10"/>
        <v>9504.1900000000023</v>
      </c>
      <c r="M65" s="3"/>
      <c r="N65" s="7">
        <f t="shared" si="11"/>
        <v>0.21428999819624825</v>
      </c>
      <c r="O65" s="12"/>
      <c r="P65" s="8">
        <v>302787.19</v>
      </c>
      <c r="Q65" s="3"/>
      <c r="R65" s="7">
        <f t="shared" si="12"/>
        <v>7.8656853505985322E-2</v>
      </c>
      <c r="S65" s="3"/>
      <c r="T65" s="8">
        <v>237024</v>
      </c>
      <c r="U65" s="3"/>
      <c r="V65" s="7">
        <f t="shared" si="13"/>
        <v>7.9277543648404572E-2</v>
      </c>
      <c r="W65" s="3"/>
      <c r="X65" s="8">
        <f t="shared" si="14"/>
        <v>65763.19</v>
      </c>
      <c r="Y65" s="3"/>
      <c r="Z65" s="7">
        <f t="shared" si="15"/>
        <v>0.27745371776697719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10.93</v>
      </c>
      <c r="E66" s="2"/>
      <c r="F66" s="6">
        <f t="shared" si="8"/>
        <v>1.6121788801115199E-5</v>
      </c>
      <c r="G66" s="2"/>
      <c r="H66" s="2">
        <f>SUM(OSRRefH22_11x_0)</f>
        <v>200</v>
      </c>
      <c r="I66" s="2"/>
      <c r="J66" s="6">
        <f t="shared" si="9"/>
        <v>3.6075036075036075E-4</v>
      </c>
      <c r="K66" s="2"/>
      <c r="L66" s="2">
        <f t="shared" si="10"/>
        <v>-189.07</v>
      </c>
      <c r="M66" s="2"/>
      <c r="N66" s="6">
        <f t="shared" si="11"/>
        <v>-0.94534999999999991</v>
      </c>
      <c r="O66" s="14"/>
      <c r="P66" s="2">
        <f>SUM(OSRRefP22_11x_0)</f>
        <v>2129.2399999999998</v>
      </c>
      <c r="Q66" s="2"/>
      <c r="R66" s="6">
        <f t="shared" si="12"/>
        <v>5.531255095669145E-4</v>
      </c>
      <c r="S66" s="2"/>
      <c r="T66" s="2">
        <f>SUM(OSRRefT22_11x_0)</f>
        <v>5600</v>
      </c>
      <c r="U66" s="2"/>
      <c r="V66" s="6">
        <f t="shared" si="13"/>
        <v>1.8730349856177671E-3</v>
      </c>
      <c r="W66" s="2"/>
      <c r="X66" s="2">
        <f t="shared" si="14"/>
        <v>-3470.76</v>
      </c>
      <c r="Y66" s="2"/>
      <c r="Z66" s="6">
        <f t="shared" si="15"/>
        <v>-0.61977857142857151</v>
      </c>
    </row>
    <row r="67" spans="1:26" s="70" customFormat="1" ht="15" hidden="1" customHeight="1" outlineLevel="2" x14ac:dyDescent="0.3">
      <c r="A67" s="26"/>
      <c r="B67" s="12" t="str">
        <f>CONCATENATE("          ","6373"," - ","MAINTENANCE CONTRACTS")</f>
        <v xml:space="preserve">          6373 - MAINTENANCE CONTRACTS</v>
      </c>
      <c r="C67" s="12"/>
      <c r="D67" s="8">
        <v>10.93</v>
      </c>
      <c r="E67" s="3"/>
      <c r="F67" s="7">
        <f t="shared" si="8"/>
        <v>1.6121788801115199E-5</v>
      </c>
      <c r="G67" s="3"/>
      <c r="H67" s="8"/>
      <c r="I67" s="3"/>
      <c r="J67" s="7">
        <f t="shared" si="9"/>
        <v>0</v>
      </c>
      <c r="K67" s="3"/>
      <c r="L67" s="8">
        <f t="shared" si="10"/>
        <v>10.93</v>
      </c>
      <c r="M67" s="3"/>
      <c r="N67" s="7">
        <f t="shared" si="11"/>
        <v>0</v>
      </c>
      <c r="O67" s="12"/>
      <c r="P67" s="8">
        <v>284.70999999999998</v>
      </c>
      <c r="Q67" s="3"/>
      <c r="R67" s="7">
        <f t="shared" si="12"/>
        <v>7.3960832892861413E-5</v>
      </c>
      <c r="S67" s="3"/>
      <c r="T67" s="8">
        <v>4000</v>
      </c>
      <c r="U67" s="3"/>
      <c r="V67" s="7">
        <f t="shared" si="13"/>
        <v>1.3378821325841193E-3</v>
      </c>
      <c r="W67" s="3"/>
      <c r="X67" s="8">
        <f t="shared" si="14"/>
        <v>-3715.29</v>
      </c>
      <c r="Y67" s="3"/>
      <c r="Z67" s="7">
        <f t="shared" si="15"/>
        <v>-0.9288225</v>
      </c>
    </row>
    <row r="68" spans="1:26" s="70" customFormat="1" ht="15" hidden="1" customHeight="1" outlineLevel="2" x14ac:dyDescent="0.3">
      <c r="A68" s="26"/>
      <c r="B68" s="12" t="str">
        <f>CONCATENATE("          ","6375"," - ","OUTSIDE REPAIRS &amp; MAINTENANCE")</f>
        <v xml:space="preserve">          6375 - OUTSIDE REPAIRS &amp; MAINTENANCE</v>
      </c>
      <c r="C68" s="12"/>
      <c r="D68" s="8"/>
      <c r="E68" s="3"/>
      <c r="F68" s="7">
        <f t="shared" si="8"/>
        <v>0</v>
      </c>
      <c r="G68" s="3"/>
      <c r="H68" s="8">
        <v>200</v>
      </c>
      <c r="I68" s="3"/>
      <c r="J68" s="7">
        <f t="shared" si="9"/>
        <v>3.6075036075036075E-4</v>
      </c>
      <c r="K68" s="3"/>
      <c r="L68" s="8">
        <f t="shared" si="10"/>
        <v>-200</v>
      </c>
      <c r="M68" s="3"/>
      <c r="N68" s="7">
        <f t="shared" si="11"/>
        <v>-1</v>
      </c>
      <c r="O68" s="12"/>
      <c r="P68" s="8">
        <v>1844.53</v>
      </c>
      <c r="Q68" s="3"/>
      <c r="R68" s="7">
        <f t="shared" si="12"/>
        <v>4.7916467667405318E-4</v>
      </c>
      <c r="S68" s="3"/>
      <c r="T68" s="8">
        <v>1600</v>
      </c>
      <c r="U68" s="3"/>
      <c r="V68" s="7">
        <f t="shared" si="13"/>
        <v>5.3515285303364774E-4</v>
      </c>
      <c r="W68" s="3"/>
      <c r="X68" s="8">
        <f t="shared" si="14"/>
        <v>244.52999999999997</v>
      </c>
      <c r="Y68" s="3"/>
      <c r="Z68" s="7">
        <f t="shared" si="15"/>
        <v>0.15283124999999997</v>
      </c>
    </row>
    <row r="69" spans="1:26" s="69" customFormat="1" ht="15" customHeight="1" outlineLevel="1" collapsed="1" x14ac:dyDescent="0.3">
      <c r="A69" s="25"/>
      <c r="B69" s="14" t="str">
        <f>CONCATENATE("     ","Services                                          ")</f>
        <v xml:space="preserve">     Services                                          </v>
      </c>
      <c r="C69" s="14"/>
      <c r="D69" s="2">
        <f>SUM(OSRRefD22_12x_0)</f>
        <v>6713.77</v>
      </c>
      <c r="E69" s="2"/>
      <c r="F69" s="6">
        <f t="shared" si="8"/>
        <v>9.9028345836471368E-3</v>
      </c>
      <c r="G69" s="2"/>
      <c r="H69" s="2">
        <f>SUM(OSRRefH22_12x_0)</f>
        <v>7422</v>
      </c>
      <c r="I69" s="2"/>
      <c r="J69" s="6">
        <f t="shared" si="9"/>
        <v>1.3387445887445887E-2</v>
      </c>
      <c r="K69" s="2"/>
      <c r="L69" s="2">
        <f t="shared" si="10"/>
        <v>-708.22999999999956</v>
      </c>
      <c r="M69" s="2"/>
      <c r="N69" s="6">
        <f t="shared" si="11"/>
        <v>-9.5423066558878944E-2</v>
      </c>
      <c r="O69" s="14"/>
      <c r="P69" s="2">
        <f>SUM(OSRRefP22_12x_0)</f>
        <v>52463.75</v>
      </c>
      <c r="Q69" s="2"/>
      <c r="R69" s="6">
        <f t="shared" si="12"/>
        <v>1.3628824581795014E-2</v>
      </c>
      <c r="S69" s="2"/>
      <c r="T69" s="2">
        <f>SUM(OSRRefT22_12x_0)</f>
        <v>57744</v>
      </c>
      <c r="U69" s="2"/>
      <c r="V69" s="6">
        <f t="shared" si="13"/>
        <v>1.9313666465984348E-2</v>
      </c>
      <c r="W69" s="2"/>
      <c r="X69" s="2">
        <f t="shared" si="14"/>
        <v>-5280.25</v>
      </c>
      <c r="Y69" s="2"/>
      <c r="Z69" s="6">
        <f t="shared" si="15"/>
        <v>-9.1442400942089219E-2</v>
      </c>
    </row>
    <row r="70" spans="1:26" s="70" customFormat="1" ht="15" hidden="1" customHeight="1" outlineLevel="2" x14ac:dyDescent="0.3">
      <c r="A70" s="26"/>
      <c r="B70" s="12" t="str">
        <f>CONCATENATE("          ","6282"," - ","JANITORIAL/EXTERMINATOR EXPENS")</f>
        <v xml:space="preserve">          6282 - JANITORIAL/EXTERMINATOR EXPENS</v>
      </c>
      <c r="C70" s="12"/>
      <c r="D70" s="8">
        <v>459.25</v>
      </c>
      <c r="E70" s="3"/>
      <c r="F70" s="7">
        <f t="shared" si="8"/>
        <v>6.7739538032133173E-4</v>
      </c>
      <c r="G70" s="3"/>
      <c r="H70" s="8">
        <v>450</v>
      </c>
      <c r="I70" s="3"/>
      <c r="J70" s="7">
        <f t="shared" si="9"/>
        <v>8.1168831168831174E-4</v>
      </c>
      <c r="K70" s="3"/>
      <c r="L70" s="8">
        <f t="shared" si="10"/>
        <v>9.25</v>
      </c>
      <c r="M70" s="3"/>
      <c r="N70" s="7">
        <f t="shared" si="11"/>
        <v>2.0555555555555556E-2</v>
      </c>
      <c r="O70" s="12"/>
      <c r="P70" s="8">
        <v>4577.55</v>
      </c>
      <c r="Q70" s="3"/>
      <c r="R70" s="7">
        <f t="shared" si="12"/>
        <v>1.1891377563440616E-3</v>
      </c>
      <c r="S70" s="3"/>
      <c r="T70" s="8">
        <v>3600</v>
      </c>
      <c r="U70" s="3"/>
      <c r="V70" s="7">
        <f t="shared" si="13"/>
        <v>1.2040939193257074E-3</v>
      </c>
      <c r="W70" s="3"/>
      <c r="X70" s="8">
        <f t="shared" si="14"/>
        <v>977.55000000000018</v>
      </c>
      <c r="Y70" s="3"/>
      <c r="Z70" s="7">
        <f t="shared" si="15"/>
        <v>0.27154166666666674</v>
      </c>
    </row>
    <row r="71" spans="1:26" s="70" customFormat="1" ht="15" hidden="1" customHeight="1" outlineLevel="2" x14ac:dyDescent="0.3">
      <c r="A71" s="26"/>
      <c r="B71" s="12" t="str">
        <f>CONCATENATE("          ","6284"," - ","TRASH REMOVAL EXPENSE")</f>
        <v xml:space="preserve">          6284 - TRASH REMOVAL EXPENSE</v>
      </c>
      <c r="C71" s="12"/>
      <c r="D71" s="8"/>
      <c r="E71" s="3"/>
      <c r="F71" s="7">
        <f t="shared" si="8"/>
        <v>0</v>
      </c>
      <c r="G71" s="3"/>
      <c r="H71" s="8">
        <v>50</v>
      </c>
      <c r="I71" s="3"/>
      <c r="J71" s="7">
        <f t="shared" si="9"/>
        <v>9.0187590187590188E-5</v>
      </c>
      <c r="K71" s="3"/>
      <c r="L71" s="8">
        <f t="shared" si="10"/>
        <v>-50</v>
      </c>
      <c r="M71" s="3"/>
      <c r="N71" s="7">
        <f t="shared" si="11"/>
        <v>-1</v>
      </c>
      <c r="O71" s="12"/>
      <c r="P71" s="8"/>
      <c r="Q71" s="3"/>
      <c r="R71" s="7">
        <f t="shared" si="12"/>
        <v>0</v>
      </c>
      <c r="S71" s="3"/>
      <c r="T71" s="8">
        <v>400</v>
      </c>
      <c r="U71" s="3"/>
      <c r="V71" s="7">
        <f t="shared" si="13"/>
        <v>1.3378821325841193E-4</v>
      </c>
      <c r="W71" s="3"/>
      <c r="X71" s="8">
        <f t="shared" si="14"/>
        <v>-400</v>
      </c>
      <c r="Y71" s="3"/>
      <c r="Z71" s="7">
        <f t="shared" si="15"/>
        <v>-1</v>
      </c>
    </row>
    <row r="72" spans="1:26" s="70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8">
        <v>5291.22</v>
      </c>
      <c r="E72" s="3"/>
      <c r="F72" s="7">
        <f t="shared" si="8"/>
        <v>7.8045682836447184E-3</v>
      </c>
      <c r="G72" s="3"/>
      <c r="H72" s="8">
        <v>5255</v>
      </c>
      <c r="I72" s="3"/>
      <c r="J72" s="7">
        <f t="shared" si="9"/>
        <v>9.4787157287157288E-3</v>
      </c>
      <c r="K72" s="3"/>
      <c r="L72" s="8">
        <f t="shared" si="10"/>
        <v>36.220000000000255</v>
      </c>
      <c r="M72" s="3"/>
      <c r="N72" s="7">
        <f t="shared" si="11"/>
        <v>6.8924833491912953E-3</v>
      </c>
      <c r="O72" s="12"/>
      <c r="P72" s="8">
        <v>39671.279999999999</v>
      </c>
      <c r="Q72" s="3"/>
      <c r="R72" s="7">
        <f t="shared" si="12"/>
        <v>1.030564753863902E-2</v>
      </c>
      <c r="S72" s="3"/>
      <c r="T72" s="8">
        <v>40408</v>
      </c>
      <c r="U72" s="3"/>
      <c r="V72" s="7">
        <f t="shared" si="13"/>
        <v>1.3515285303364774E-2</v>
      </c>
      <c r="W72" s="3"/>
      <c r="X72" s="8">
        <f t="shared" si="14"/>
        <v>-736.72000000000116</v>
      </c>
      <c r="Y72" s="3"/>
      <c r="Z72" s="7">
        <f t="shared" si="15"/>
        <v>-1.8232033260740476E-2</v>
      </c>
    </row>
    <row r="73" spans="1:26" s="70" customFormat="1" ht="15" hidden="1" customHeight="1" outlineLevel="2" x14ac:dyDescent="0.3">
      <c r="A73" s="26"/>
      <c r="B73" s="12" t="str">
        <f>CONCATENATE("          ","6286"," - ","LAUNDRY EXPENSE")</f>
        <v xml:space="preserve">          6286 - LAUNDRY EXPENSE</v>
      </c>
      <c r="C73" s="12"/>
      <c r="D73" s="8">
        <v>963.3</v>
      </c>
      <c r="E73" s="3"/>
      <c r="F73" s="7">
        <f t="shared" si="8"/>
        <v>1.4208709196810861E-3</v>
      </c>
      <c r="G73" s="3"/>
      <c r="H73" s="8">
        <v>1667</v>
      </c>
      <c r="I73" s="3"/>
      <c r="J73" s="7">
        <f t="shared" si="9"/>
        <v>3.0068542568542568E-3</v>
      </c>
      <c r="K73" s="3"/>
      <c r="L73" s="8">
        <f t="shared" si="10"/>
        <v>-703.7</v>
      </c>
      <c r="M73" s="3"/>
      <c r="N73" s="7">
        <f t="shared" si="11"/>
        <v>-0.42213557288542292</v>
      </c>
      <c r="O73" s="12"/>
      <c r="P73" s="8">
        <v>8214.92</v>
      </c>
      <c r="Q73" s="3"/>
      <c r="R73" s="7">
        <f t="shared" si="12"/>
        <v>2.1340392868119322E-3</v>
      </c>
      <c r="S73" s="3"/>
      <c r="T73" s="8">
        <v>13336</v>
      </c>
      <c r="U73" s="3"/>
      <c r="V73" s="7">
        <f t="shared" si="13"/>
        <v>4.4604990300354539E-3</v>
      </c>
      <c r="W73" s="3"/>
      <c r="X73" s="8">
        <f t="shared" si="14"/>
        <v>-5121.08</v>
      </c>
      <c r="Y73" s="3"/>
      <c r="Z73" s="7">
        <f t="shared" si="15"/>
        <v>-0.38400419916016798</v>
      </c>
    </row>
    <row r="74" spans="1:26" s="69" customFormat="1" ht="15" customHeight="1" outlineLevel="1" collapsed="1" x14ac:dyDescent="0.3">
      <c r="A74" s="2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SUM(OSRRefD22_13x_0)</f>
        <v>0</v>
      </c>
      <c r="E74" s="2"/>
      <c r="F74" s="6">
        <f t="shared" si="8"/>
        <v>0</v>
      </c>
      <c r="G74" s="2"/>
      <c r="H74" s="2">
        <f>SUM(OSRRefH22_13x_0)</f>
        <v>0</v>
      </c>
      <c r="I74" s="2"/>
      <c r="J74" s="6">
        <f t="shared" si="9"/>
        <v>0</v>
      </c>
      <c r="K74" s="2"/>
      <c r="L74" s="2">
        <f t="shared" si="10"/>
        <v>0</v>
      </c>
      <c r="M74" s="2"/>
      <c r="N74" s="6">
        <f t="shared" si="11"/>
        <v>0</v>
      </c>
      <c r="O74" s="14"/>
      <c r="P74" s="2">
        <f>SUM(OSRRefP22_13x_0)</f>
        <v>0</v>
      </c>
      <c r="Q74" s="2"/>
      <c r="R74" s="6">
        <f t="shared" si="12"/>
        <v>0</v>
      </c>
      <c r="S74" s="2"/>
      <c r="T74" s="2">
        <f>SUM(OSRRefT22_13x_0)</f>
        <v>795</v>
      </c>
      <c r="U74" s="2"/>
      <c r="V74" s="6">
        <f t="shared" si="13"/>
        <v>2.6590407385109372E-4</v>
      </c>
      <c r="W74" s="2"/>
      <c r="X74" s="2">
        <f t="shared" si="14"/>
        <v>-795</v>
      </c>
      <c r="Y74" s="2"/>
      <c r="Z74" s="6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","6258"," - ","MEMBERSHIP DUES")</f>
        <v xml:space="preserve">          6258 - MEMBERSHIP DUES</v>
      </c>
      <c r="C75" s="12"/>
      <c r="D75" s="8"/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0</v>
      </c>
      <c r="M75" s="3"/>
      <c r="N75" s="7">
        <f t="shared" si="11"/>
        <v>0</v>
      </c>
      <c r="O75" s="12"/>
      <c r="P75" s="8"/>
      <c r="Q75" s="3"/>
      <c r="R75" s="7">
        <f t="shared" si="12"/>
        <v>0</v>
      </c>
      <c r="S75" s="3"/>
      <c r="T75" s="8">
        <v>795</v>
      </c>
      <c r="U75" s="3"/>
      <c r="V75" s="7">
        <f t="shared" si="13"/>
        <v>2.6590407385109372E-4</v>
      </c>
      <c r="W75" s="3"/>
      <c r="X75" s="8">
        <f t="shared" si="14"/>
        <v>-795</v>
      </c>
      <c r="Y75" s="3"/>
      <c r="Z75" s="7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12671.26</v>
      </c>
      <c r="E76" s="2"/>
      <c r="F76" s="6">
        <f t="shared" si="8"/>
        <v>1.8690153482526898E-2</v>
      </c>
      <c r="G76" s="2"/>
      <c r="H76" s="2">
        <f>SUM(OSRRefH22_14x_0)</f>
        <v>13066</v>
      </c>
      <c r="I76" s="2"/>
      <c r="J76" s="6">
        <f t="shared" si="9"/>
        <v>2.3567821067821067E-2</v>
      </c>
      <c r="K76" s="2"/>
      <c r="L76" s="2">
        <f t="shared" si="10"/>
        <v>-394.73999999999978</v>
      </c>
      <c r="M76" s="2"/>
      <c r="N76" s="6">
        <f t="shared" si="11"/>
        <v>-3.0211235267105448E-2</v>
      </c>
      <c r="O76" s="14"/>
      <c r="P76" s="2">
        <f>SUM(OSRRefP22_14x_0)</f>
        <v>118702.89</v>
      </c>
      <c r="Q76" s="2"/>
      <c r="R76" s="6">
        <f t="shared" si="12"/>
        <v>3.0836165260053075E-2</v>
      </c>
      <c r="S76" s="2"/>
      <c r="T76" s="2">
        <f>SUM(OSRRefT22_14x_0)</f>
        <v>104528</v>
      </c>
      <c r="U76" s="2"/>
      <c r="V76" s="6">
        <f t="shared" si="13"/>
        <v>3.4961535888688208E-2</v>
      </c>
      <c r="W76" s="2"/>
      <c r="X76" s="2">
        <f t="shared" si="14"/>
        <v>14174.89</v>
      </c>
      <c r="Y76" s="2"/>
      <c r="Z76" s="6">
        <f t="shared" si="15"/>
        <v>0.13560854507883055</v>
      </c>
    </row>
    <row r="77" spans="1:26" s="70" customFormat="1" ht="15" hidden="1" customHeight="1" outlineLevel="2" x14ac:dyDescent="0.3">
      <c r="A77" s="26"/>
      <c r="B77" s="12" t="str">
        <f>CONCATENATE("          ","6234"," - ","EXPENDABLE SUPPLIES &amp; EQUIPMEN")</f>
        <v xml:space="preserve">          6234 - EXPENDABLE SUPPLIES &amp; EQUIPMEN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315</v>
      </c>
      <c r="Q77" s="3"/>
      <c r="R77" s="7">
        <f t="shared" si="12"/>
        <v>8.1829448776830278E-5</v>
      </c>
      <c r="S77" s="3"/>
      <c r="T77" s="8"/>
      <c r="U77" s="3"/>
      <c r="V77" s="7">
        <f t="shared" si="13"/>
        <v>0</v>
      </c>
      <c r="W77" s="3"/>
      <c r="X77" s="8">
        <f t="shared" si="14"/>
        <v>315</v>
      </c>
      <c r="Y77" s="3"/>
      <c r="Z77" s="7">
        <f t="shared" si="15"/>
        <v>0</v>
      </c>
    </row>
    <row r="78" spans="1:26" s="70" customFormat="1" ht="15" hidden="1" customHeight="1" outlineLevel="2" x14ac:dyDescent="0.3">
      <c r="A78" s="26"/>
      <c r="B78" s="12" t="str">
        <f>CONCATENATE("          ","6235"," - ","COVID-19 EXPENSES")</f>
        <v xml:space="preserve">          6235 - COVID-19 EXPENSES</v>
      </c>
      <c r="C78" s="12"/>
      <c r="D78" s="8">
        <v>158.76</v>
      </c>
      <c r="E78" s="3"/>
      <c r="F78" s="7">
        <f t="shared" si="8"/>
        <v>2.341715635924107E-4</v>
      </c>
      <c r="G78" s="3"/>
      <c r="H78" s="8"/>
      <c r="I78" s="3"/>
      <c r="J78" s="7">
        <f t="shared" si="9"/>
        <v>0</v>
      </c>
      <c r="K78" s="3"/>
      <c r="L78" s="8">
        <f t="shared" si="10"/>
        <v>158.76</v>
      </c>
      <c r="M78" s="3"/>
      <c r="N78" s="7">
        <f t="shared" si="11"/>
        <v>0</v>
      </c>
      <c r="O78" s="12"/>
      <c r="P78" s="8">
        <v>158.76</v>
      </c>
      <c r="Q78" s="3"/>
      <c r="R78" s="7">
        <f t="shared" si="12"/>
        <v>4.1242042183522459E-5</v>
      </c>
      <c r="S78" s="3"/>
      <c r="T78" s="8"/>
      <c r="U78" s="3"/>
      <c r="V78" s="7">
        <f t="shared" si="13"/>
        <v>0</v>
      </c>
      <c r="W78" s="3"/>
      <c r="X78" s="8">
        <f t="shared" si="14"/>
        <v>158.76</v>
      </c>
      <c r="Y78" s="3"/>
      <c r="Z78" s="7">
        <f t="shared" si="15"/>
        <v>0</v>
      </c>
    </row>
    <row r="79" spans="1:26" s="70" customFormat="1" ht="15" hidden="1" customHeight="1" outlineLevel="2" x14ac:dyDescent="0.3">
      <c r="A79" s="26"/>
      <c r="B79" s="12" t="str">
        <f>CONCATENATE("          ","6237"," - ","JANITORIAL SUPPLIES")</f>
        <v xml:space="preserve">          6237 - JANITORIAL SUPPLIES</v>
      </c>
      <c r="C79" s="12"/>
      <c r="D79" s="8">
        <v>3139.58</v>
      </c>
      <c r="E79" s="3"/>
      <c r="F79" s="7">
        <f t="shared" si="8"/>
        <v>4.6308916453984689E-3</v>
      </c>
      <c r="G79" s="3"/>
      <c r="H79" s="8">
        <v>3750</v>
      </c>
      <c r="I79" s="3"/>
      <c r="J79" s="7">
        <f t="shared" si="9"/>
        <v>6.764069264069264E-3</v>
      </c>
      <c r="K79" s="3"/>
      <c r="L79" s="8">
        <f t="shared" si="10"/>
        <v>-610.42000000000007</v>
      </c>
      <c r="M79" s="3"/>
      <c r="N79" s="7">
        <f t="shared" si="11"/>
        <v>-0.16277866666666668</v>
      </c>
      <c r="O79" s="12"/>
      <c r="P79" s="8">
        <v>19257.02</v>
      </c>
      <c r="Q79" s="3"/>
      <c r="R79" s="7">
        <f t="shared" si="12"/>
        <v>5.0025121640774484E-3</v>
      </c>
      <c r="S79" s="3"/>
      <c r="T79" s="8">
        <v>30000</v>
      </c>
      <c r="U79" s="3"/>
      <c r="V79" s="7">
        <f t="shared" si="13"/>
        <v>1.0034115994380895E-2</v>
      </c>
      <c r="W79" s="3"/>
      <c r="X79" s="8">
        <f t="shared" si="14"/>
        <v>-10742.98</v>
      </c>
      <c r="Y79" s="3"/>
      <c r="Z79" s="7">
        <f t="shared" si="15"/>
        <v>-0.35809933333333333</v>
      </c>
    </row>
    <row r="80" spans="1:26" s="70" customFormat="1" ht="15" hidden="1" customHeight="1" outlineLevel="2" x14ac:dyDescent="0.3">
      <c r="A80" s="26"/>
      <c r="B80" s="12" t="str">
        <f>CONCATENATE("          ","6239"," - ","KITCHEN SUPPLIES")</f>
        <v xml:space="preserve">          6239 - KITCHEN SUPPLIES</v>
      </c>
      <c r="C80" s="12"/>
      <c r="D80" s="8">
        <v>582.53</v>
      </c>
      <c r="E80" s="3"/>
      <c r="F80" s="7">
        <f t="shared" si="8"/>
        <v>8.5923381796099152E-4</v>
      </c>
      <c r="G80" s="3"/>
      <c r="H80" s="8">
        <v>1800</v>
      </c>
      <c r="I80" s="3"/>
      <c r="J80" s="7">
        <f t="shared" si="9"/>
        <v>3.246753246753247E-3</v>
      </c>
      <c r="K80" s="3"/>
      <c r="L80" s="8">
        <f t="shared" si="10"/>
        <v>-1217.47</v>
      </c>
      <c r="M80" s="3"/>
      <c r="N80" s="7">
        <f t="shared" si="11"/>
        <v>-0.67637222222222226</v>
      </c>
      <c r="O80" s="12"/>
      <c r="P80" s="8">
        <v>10088.780000000001</v>
      </c>
      <c r="Q80" s="3"/>
      <c r="R80" s="7">
        <f t="shared" si="12"/>
        <v>2.6208231943832057E-3</v>
      </c>
      <c r="S80" s="3"/>
      <c r="T80" s="8">
        <v>14400</v>
      </c>
      <c r="U80" s="3"/>
      <c r="V80" s="7">
        <f t="shared" si="13"/>
        <v>4.8163756773028296E-3</v>
      </c>
      <c r="W80" s="3"/>
      <c r="X80" s="8">
        <f t="shared" si="14"/>
        <v>-4311.2199999999993</v>
      </c>
      <c r="Y80" s="3"/>
      <c r="Z80" s="7">
        <f t="shared" si="15"/>
        <v>-0.29939027777777771</v>
      </c>
    </row>
    <row r="81" spans="1:26" s="70" customFormat="1" ht="15" hidden="1" customHeight="1" outlineLevel="2" x14ac:dyDescent="0.3">
      <c r="A81" s="26"/>
      <c r="B81" s="12" t="str">
        <f>CONCATENATE("          ","6241"," - ","OFFICE EXPENSE")</f>
        <v xml:space="preserve">          6241 - OFFICE EXPENSE</v>
      </c>
      <c r="C81" s="12"/>
      <c r="D81" s="8">
        <v>276.97000000000003</v>
      </c>
      <c r="E81" s="3"/>
      <c r="F81" s="7">
        <f t="shared" si="8"/>
        <v>4.0853173323374906E-4</v>
      </c>
      <c r="G81" s="3"/>
      <c r="H81" s="8">
        <v>820</v>
      </c>
      <c r="I81" s="3"/>
      <c r="J81" s="7">
        <f t="shared" si="9"/>
        <v>1.4790764790764792E-3</v>
      </c>
      <c r="K81" s="3"/>
      <c r="L81" s="8">
        <f t="shared" si="10"/>
        <v>-543.03</v>
      </c>
      <c r="M81" s="3"/>
      <c r="N81" s="7">
        <f t="shared" si="11"/>
        <v>-0.66223170731707315</v>
      </c>
      <c r="O81" s="12"/>
      <c r="P81" s="8">
        <v>3858.54</v>
      </c>
      <c r="Q81" s="3"/>
      <c r="R81" s="7">
        <f t="shared" si="12"/>
        <v>1.0023561945503197E-3</v>
      </c>
      <c r="S81" s="3"/>
      <c r="T81" s="8">
        <v>6560</v>
      </c>
      <c r="U81" s="3"/>
      <c r="V81" s="7">
        <f t="shared" si="13"/>
        <v>2.1941266974379557E-3</v>
      </c>
      <c r="W81" s="3"/>
      <c r="X81" s="8">
        <f t="shared" si="14"/>
        <v>-2701.46</v>
      </c>
      <c r="Y81" s="3"/>
      <c r="Z81" s="7">
        <f t="shared" si="15"/>
        <v>-0.41180792682926831</v>
      </c>
    </row>
    <row r="82" spans="1:26" s="70" customFormat="1" ht="15" hidden="1" customHeight="1" outlineLevel="2" x14ac:dyDescent="0.3">
      <c r="A82" s="26"/>
      <c r="B82" s="12" t="str">
        <f>CONCATENATE("          ","6243"," - ","PAPER SUPPLIES")</f>
        <v xml:space="preserve">          6243 - PAPER SUPPLIES</v>
      </c>
      <c r="C82" s="12"/>
      <c r="D82" s="8">
        <v>8438.07</v>
      </c>
      <c r="E82" s="3"/>
      <c r="F82" s="7">
        <f t="shared" si="8"/>
        <v>1.2446183204851431E-2</v>
      </c>
      <c r="G82" s="3"/>
      <c r="H82" s="8">
        <v>6300</v>
      </c>
      <c r="I82" s="3"/>
      <c r="J82" s="7">
        <f t="shared" si="9"/>
        <v>1.1363636363636364E-2</v>
      </c>
      <c r="K82" s="3"/>
      <c r="L82" s="8">
        <f t="shared" si="10"/>
        <v>2138.0699999999997</v>
      </c>
      <c r="M82" s="3"/>
      <c r="N82" s="7">
        <f t="shared" si="11"/>
        <v>0.33937619047619044</v>
      </c>
      <c r="O82" s="12"/>
      <c r="P82" s="8">
        <v>82694.87</v>
      </c>
      <c r="Q82" s="3"/>
      <c r="R82" s="7">
        <f t="shared" si="12"/>
        <v>2.1482144853243297E-2</v>
      </c>
      <c r="S82" s="3"/>
      <c r="T82" s="8">
        <v>50400</v>
      </c>
      <c r="U82" s="3"/>
      <c r="V82" s="7">
        <f t="shared" si="13"/>
        <v>1.6857314870559904E-2</v>
      </c>
      <c r="W82" s="3"/>
      <c r="X82" s="8">
        <f t="shared" si="14"/>
        <v>32294.869999999995</v>
      </c>
      <c r="Y82" s="3"/>
      <c r="Z82" s="7">
        <f t="shared" si="15"/>
        <v>0.64077123015873005</v>
      </c>
    </row>
    <row r="83" spans="1:26" s="70" customFormat="1" ht="15" hidden="1" customHeight="1" outlineLevel="2" x14ac:dyDescent="0.3">
      <c r="A83" s="26"/>
      <c r="B83" s="12" t="str">
        <f>CONCATENATE("          ","6244"," - ","SAFETY SUPPLY EXPENSE")</f>
        <v xml:space="preserve">          6244 - SAFETY SUPPLY EXPENSE</v>
      </c>
      <c r="C83" s="12"/>
      <c r="D83" s="8"/>
      <c r="E83" s="3"/>
      <c r="F83" s="7">
        <f t="shared" si="8"/>
        <v>0</v>
      </c>
      <c r="G83" s="3"/>
      <c r="H83" s="8">
        <v>200</v>
      </c>
      <c r="I83" s="3"/>
      <c r="J83" s="7">
        <f t="shared" si="9"/>
        <v>3.6075036075036075E-4</v>
      </c>
      <c r="K83" s="3"/>
      <c r="L83" s="8">
        <f t="shared" si="10"/>
        <v>-200</v>
      </c>
      <c r="M83" s="3"/>
      <c r="N83" s="7">
        <f t="shared" si="11"/>
        <v>-1</v>
      </c>
      <c r="O83" s="12"/>
      <c r="P83" s="8"/>
      <c r="Q83" s="3"/>
      <c r="R83" s="7">
        <f t="shared" si="12"/>
        <v>0</v>
      </c>
      <c r="S83" s="3"/>
      <c r="T83" s="8">
        <v>1600</v>
      </c>
      <c r="U83" s="3"/>
      <c r="V83" s="7">
        <f t="shared" si="13"/>
        <v>5.3515285303364774E-4</v>
      </c>
      <c r="W83" s="3"/>
      <c r="X83" s="8">
        <f t="shared" si="14"/>
        <v>-1600</v>
      </c>
      <c r="Y83" s="3"/>
      <c r="Z83" s="7">
        <f t="shared" si="15"/>
        <v>-1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8">
        <v>75.349999999999994</v>
      </c>
      <c r="E84" s="3"/>
      <c r="F84" s="7">
        <f t="shared" si="8"/>
        <v>1.1114151748984724E-4</v>
      </c>
      <c r="G84" s="3"/>
      <c r="H84" s="8"/>
      <c r="I84" s="3"/>
      <c r="J84" s="7">
        <f t="shared" si="9"/>
        <v>0</v>
      </c>
      <c r="K84" s="3"/>
      <c r="L84" s="8">
        <f t="shared" si="10"/>
        <v>75.349999999999994</v>
      </c>
      <c r="M84" s="3"/>
      <c r="N84" s="7">
        <f t="shared" si="11"/>
        <v>0</v>
      </c>
      <c r="O84" s="12"/>
      <c r="P84" s="8">
        <v>459.51</v>
      </c>
      <c r="Q84" s="3"/>
      <c r="R84" s="7">
        <f t="shared" si="12"/>
        <v>1.1936968256330566E-4</v>
      </c>
      <c r="S84" s="3"/>
      <c r="T84" s="8"/>
      <c r="U84" s="3"/>
      <c r="V84" s="7">
        <f t="shared" si="13"/>
        <v>0</v>
      </c>
      <c r="W84" s="3"/>
      <c r="X84" s="8">
        <f t="shared" si="14"/>
        <v>459.51</v>
      </c>
      <c r="Y84" s="3"/>
      <c r="Z84" s="7">
        <f t="shared" si="15"/>
        <v>0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8"/>
      <c r="E85" s="3"/>
      <c r="F85" s="7">
        <f t="shared" si="8"/>
        <v>0</v>
      </c>
      <c r="G85" s="3"/>
      <c r="H85" s="8">
        <v>196</v>
      </c>
      <c r="I85" s="3"/>
      <c r="J85" s="7">
        <f t="shared" si="9"/>
        <v>3.5353535353535354E-4</v>
      </c>
      <c r="K85" s="3"/>
      <c r="L85" s="8">
        <f t="shared" si="10"/>
        <v>-196</v>
      </c>
      <c r="M85" s="3"/>
      <c r="N85" s="7">
        <f t="shared" si="11"/>
        <v>-1</v>
      </c>
      <c r="O85" s="12"/>
      <c r="P85" s="8">
        <v>1870.41</v>
      </c>
      <c r="Q85" s="3"/>
      <c r="R85" s="7">
        <f t="shared" si="12"/>
        <v>4.8588768027514644E-4</v>
      </c>
      <c r="S85" s="3"/>
      <c r="T85" s="8">
        <v>1568</v>
      </c>
      <c r="U85" s="3"/>
      <c r="V85" s="7">
        <f t="shared" si="13"/>
        <v>5.2444979597297478E-4</v>
      </c>
      <c r="W85" s="3"/>
      <c r="X85" s="8">
        <f t="shared" si="14"/>
        <v>302.41000000000008</v>
      </c>
      <c r="Y85" s="3"/>
      <c r="Z85" s="7">
        <f t="shared" si="15"/>
        <v>0.19286352040816332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309</v>
      </c>
      <c r="E86" s="2"/>
      <c r="F86" s="6">
        <f t="shared" si="8"/>
        <v>4.5577609693912141E-4</v>
      </c>
      <c r="G86" s="2"/>
      <c r="H86" s="2">
        <f>SUM(OSRRefH22_15x_0)</f>
        <v>218</v>
      </c>
      <c r="I86" s="2"/>
      <c r="J86" s="6">
        <f t="shared" si="9"/>
        <v>3.9321789321789322E-4</v>
      </c>
      <c r="K86" s="2"/>
      <c r="L86" s="2">
        <f t="shared" si="10"/>
        <v>91</v>
      </c>
      <c r="M86" s="2"/>
      <c r="N86" s="6">
        <f t="shared" si="11"/>
        <v>0.41743119266055045</v>
      </c>
      <c r="O86" s="14"/>
      <c r="P86" s="2">
        <f>SUM(OSRRefP22_15x_0)</f>
        <v>2380</v>
      </c>
      <c r="Q86" s="2"/>
      <c r="R86" s="6">
        <f t="shared" si="12"/>
        <v>6.1826694631382875E-4</v>
      </c>
      <c r="S86" s="2"/>
      <c r="T86" s="2">
        <f>SUM(OSRRefT22_15x_0)</f>
        <v>1744</v>
      </c>
      <c r="U86" s="2"/>
      <c r="V86" s="6">
        <f t="shared" si="13"/>
        <v>5.8331660980667603E-4</v>
      </c>
      <c r="W86" s="2"/>
      <c r="X86" s="2">
        <f t="shared" si="14"/>
        <v>636</v>
      </c>
      <c r="Y86" s="2"/>
      <c r="Z86" s="6">
        <f t="shared" si="15"/>
        <v>0.36467889908256879</v>
      </c>
    </row>
    <row r="87" spans="1:26" s="70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8">
        <v>309</v>
      </c>
      <c r="E87" s="3"/>
      <c r="F87" s="7">
        <f t="shared" si="8"/>
        <v>4.5577609693912141E-4</v>
      </c>
      <c r="G87" s="3"/>
      <c r="H87" s="8">
        <v>218</v>
      </c>
      <c r="I87" s="3"/>
      <c r="J87" s="7">
        <f t="shared" si="9"/>
        <v>3.9321789321789322E-4</v>
      </c>
      <c r="K87" s="3"/>
      <c r="L87" s="8">
        <f t="shared" si="10"/>
        <v>91</v>
      </c>
      <c r="M87" s="3"/>
      <c r="N87" s="7">
        <f t="shared" si="11"/>
        <v>0.41743119266055045</v>
      </c>
      <c r="O87" s="12"/>
      <c r="P87" s="8">
        <v>2380</v>
      </c>
      <c r="Q87" s="3"/>
      <c r="R87" s="7">
        <f t="shared" si="12"/>
        <v>6.1826694631382875E-4</v>
      </c>
      <c r="S87" s="3"/>
      <c r="T87" s="8">
        <v>1744</v>
      </c>
      <c r="U87" s="3"/>
      <c r="V87" s="7">
        <f t="shared" si="13"/>
        <v>5.8331660980667603E-4</v>
      </c>
      <c r="W87" s="3"/>
      <c r="X87" s="8">
        <f t="shared" si="14"/>
        <v>636</v>
      </c>
      <c r="Y87" s="3"/>
      <c r="Z87" s="7">
        <f t="shared" si="15"/>
        <v>0.36467889908256879</v>
      </c>
    </row>
    <row r="88" spans="1:26" s="69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0</v>
      </c>
      <c r="E88" s="2"/>
      <c r="F88" s="6">
        <f t="shared" si="8"/>
        <v>0</v>
      </c>
      <c r="G88" s="2"/>
      <c r="H88" s="2">
        <f>SUM(OSRRefH22_16x_0)</f>
        <v>175</v>
      </c>
      <c r="I88" s="2"/>
      <c r="J88" s="6">
        <f t="shared" si="9"/>
        <v>3.1565656565656568E-4</v>
      </c>
      <c r="K88" s="2"/>
      <c r="L88" s="2">
        <f t="shared" si="10"/>
        <v>-175</v>
      </c>
      <c r="M88" s="2"/>
      <c r="N88" s="6">
        <f t="shared" si="11"/>
        <v>-1</v>
      </c>
      <c r="O88" s="14"/>
      <c r="P88" s="2">
        <f>SUM(OSRRefP22_16x_0)</f>
        <v>245</v>
      </c>
      <c r="Q88" s="2"/>
      <c r="R88" s="6">
        <f t="shared" si="12"/>
        <v>6.3645126826423554E-5</v>
      </c>
      <c r="S88" s="2"/>
      <c r="T88" s="2">
        <f>SUM(OSRRefT22_16x_0)</f>
        <v>1400</v>
      </c>
      <c r="U88" s="2"/>
      <c r="V88" s="6">
        <f t="shared" si="13"/>
        <v>4.6825874640444177E-4</v>
      </c>
      <c r="W88" s="2"/>
      <c r="X88" s="2">
        <f t="shared" si="14"/>
        <v>-1155</v>
      </c>
      <c r="Y88" s="2"/>
      <c r="Z88" s="6">
        <f t="shared" si="15"/>
        <v>-0.82499999999999996</v>
      </c>
    </row>
    <row r="89" spans="1:26" s="70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8"/>
      <c r="E89" s="3"/>
      <c r="F89" s="7">
        <f t="shared" si="8"/>
        <v>0</v>
      </c>
      <c r="G89" s="3"/>
      <c r="H89" s="8">
        <v>175</v>
      </c>
      <c r="I89" s="3"/>
      <c r="J89" s="7">
        <f t="shared" si="9"/>
        <v>3.1565656565656568E-4</v>
      </c>
      <c r="K89" s="3"/>
      <c r="L89" s="8">
        <f t="shared" si="10"/>
        <v>-175</v>
      </c>
      <c r="M89" s="3"/>
      <c r="N89" s="7">
        <f t="shared" si="11"/>
        <v>-1</v>
      </c>
      <c r="O89" s="12"/>
      <c r="P89" s="8">
        <v>245</v>
      </c>
      <c r="Q89" s="3"/>
      <c r="R89" s="7">
        <f t="shared" si="12"/>
        <v>6.3645126826423554E-5</v>
      </c>
      <c r="S89" s="3"/>
      <c r="T89" s="8">
        <v>1400</v>
      </c>
      <c r="U89" s="3"/>
      <c r="V89" s="7">
        <f t="shared" si="13"/>
        <v>4.6825874640444177E-4</v>
      </c>
      <c r="W89" s="3"/>
      <c r="X89" s="8">
        <f t="shared" si="14"/>
        <v>-1155</v>
      </c>
      <c r="Y89" s="3"/>
      <c r="Z89" s="7">
        <f t="shared" si="15"/>
        <v>-0.82499999999999996</v>
      </c>
    </row>
    <row r="90" spans="1:26" s="65" customFormat="1" ht="15" customHeight="1" x14ac:dyDescent="0.3">
      <c r="A90" s="35"/>
      <c r="B90" s="35"/>
      <c r="C90" s="35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5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3" customFormat="1" ht="15" customHeight="1" x14ac:dyDescent="0.3">
      <c r="A91" s="11"/>
      <c r="B91" s="27" t="s">
        <v>291</v>
      </c>
      <c r="C91" s="11"/>
      <c r="D91" s="5">
        <f>SUM(0)</f>
        <v>0</v>
      </c>
      <c r="E91" s="5"/>
      <c r="F91" s="13">
        <f>IF(D$12=0,0,D91/D$12)</f>
        <v>0</v>
      </c>
      <c r="G91" s="5"/>
      <c r="H91" s="5">
        <f>SUM(0)</f>
        <v>0</v>
      </c>
      <c r="I91" s="5"/>
      <c r="J91" s="13">
        <f>IF(H$12=0,0,H91/H$12)</f>
        <v>0</v>
      </c>
      <c r="K91" s="5"/>
      <c r="L91" s="5">
        <f>+D91-H91</f>
        <v>0</v>
      </c>
      <c r="M91" s="5"/>
      <c r="N91" s="13">
        <f>IF(H91=0,0,L91/H91)</f>
        <v>0</v>
      </c>
      <c r="O91" s="11"/>
      <c r="P91" s="5">
        <f>SUM(0)</f>
        <v>0</v>
      </c>
      <c r="Q91" s="5"/>
      <c r="R91" s="13">
        <f>IF(P$12=0,0,P91/P$12)</f>
        <v>0</v>
      </c>
      <c r="S91" s="5"/>
      <c r="T91" s="5">
        <f>SUM(0)</f>
        <v>0</v>
      </c>
      <c r="U91" s="5"/>
      <c r="V91" s="13">
        <f>IF(T$12=0,0,T91/T$12)</f>
        <v>0</v>
      </c>
      <c r="W91" s="5"/>
      <c r="X91" s="5">
        <f>+P91-T91</f>
        <v>0</v>
      </c>
      <c r="Y91" s="5"/>
      <c r="Z91" s="13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8" t="s">
        <v>292</v>
      </c>
      <c r="C93" s="28"/>
      <c r="D93" s="21">
        <f>+D23-D25+D91</f>
        <v>307916.9099999998</v>
      </c>
      <c r="E93" s="15"/>
      <c r="F93" s="22">
        <f>IF(D$12=0,0,D93/D$12)</f>
        <v>0.45417853534418973</v>
      </c>
      <c r="G93" s="15"/>
      <c r="H93" s="21">
        <f>+H23-H25+H91</f>
        <v>170114.62830878005</v>
      </c>
      <c r="I93" s="15"/>
      <c r="J93" s="22">
        <f>IF(H$12=0,0,H93/H$12)</f>
        <v>0.30684456765652968</v>
      </c>
      <c r="K93" s="16"/>
      <c r="L93" s="21">
        <f>+D93-H93</f>
        <v>137802.28169121974</v>
      </c>
      <c r="M93" s="16"/>
      <c r="N93" s="22">
        <f>IF(H93=0,0,L93/H93)</f>
        <v>0.81005544944136598</v>
      </c>
      <c r="O93" s="27"/>
      <c r="P93" s="21">
        <f>+P23-P25+P91</f>
        <v>1464190.6400000001</v>
      </c>
      <c r="Q93" s="15"/>
      <c r="R93" s="22">
        <f>IF(P$12=0,0,P93/P$12)</f>
        <v>0.3803616284933154</v>
      </c>
      <c r="S93" s="15"/>
      <c r="T93" s="21">
        <f>+T23-T25+T91</f>
        <v>508836.73370182654</v>
      </c>
      <c r="U93" s="15"/>
      <c r="V93" s="22">
        <f>IF(T$12=0,0,T93/T$12)</f>
        <v>0.17019089360553433</v>
      </c>
      <c r="W93" s="16"/>
      <c r="X93" s="21">
        <f>+P93-T93</f>
        <v>955353.90629817359</v>
      </c>
      <c r="Y93" s="16"/>
      <c r="Z93" s="22">
        <f>IF(T93=0,0,X93/T93)</f>
        <v>1.8775254281425402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60697.35</v>
      </c>
      <c r="E95" s="5"/>
      <c r="F95" s="13">
        <f>IF(D$12=0,0,D95/D$12)</f>
        <v>8.9528806723455603E-2</v>
      </c>
      <c r="G95" s="5"/>
      <c r="H95" s="5">
        <v>60349</v>
      </c>
      <c r="I95" s="5"/>
      <c r="J95" s="13">
        <f>IF(H$12=0,0,H95/H$12)</f>
        <v>0.10885461760461761</v>
      </c>
      <c r="K95" s="5"/>
      <c r="L95" s="5">
        <f>+D95-H95</f>
        <v>348.34999999999854</v>
      </c>
      <c r="M95" s="5"/>
      <c r="N95" s="13">
        <f>IF(H95=0,0,L95/H95)</f>
        <v>5.7722580324445901E-3</v>
      </c>
      <c r="O95" s="11"/>
      <c r="P95" s="5">
        <v>480501.23</v>
      </c>
      <c r="Q95" s="5"/>
      <c r="R95" s="13">
        <f>IF(P$12=0,0,P95/P$12)</f>
        <v>0.12482270091266331</v>
      </c>
      <c r="S95" s="5"/>
      <c r="T95" s="5">
        <v>365496</v>
      </c>
      <c r="U95" s="5"/>
      <c r="V95" s="13">
        <f>IF(T$12=0,0,T95/T$12)</f>
        <v>0.12224764198274132</v>
      </c>
      <c r="W95" s="5"/>
      <c r="X95" s="5">
        <f>+P95-T95</f>
        <v>115005.22999999998</v>
      </c>
      <c r="Y95" s="5"/>
      <c r="Z95" s="13">
        <f>IF(T95=0,0,X95/T95)</f>
        <v>0.31465523562501363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8" t="s">
        <v>294</v>
      </c>
      <c r="C97" s="28"/>
      <c r="D97" s="33">
        <f>+D93-D95</f>
        <v>247219.55999999979</v>
      </c>
      <c r="E97" s="15"/>
      <c r="F97" s="32">
        <f>IF(D$12=0,0,D97/D$12)</f>
        <v>0.36464972862073414</v>
      </c>
      <c r="G97" s="15"/>
      <c r="H97" s="33">
        <f>+H93-H95</f>
        <v>109765.62830878005</v>
      </c>
      <c r="I97" s="15"/>
      <c r="J97" s="32">
        <f>IF(H$12=0,0,H97/H$12)</f>
        <v>0.19798995005191208</v>
      </c>
      <c r="K97" s="16"/>
      <c r="L97" s="33">
        <f>D97-H97</f>
        <v>137453.93169121974</v>
      </c>
      <c r="M97" s="16"/>
      <c r="N97" s="32">
        <f>IF(H97=0,0,L97/H97)</f>
        <v>1.2522493043500842</v>
      </c>
      <c r="O97" s="27"/>
      <c r="P97" s="33">
        <f>+P93-P95</f>
        <v>983689.41000000015</v>
      </c>
      <c r="Q97" s="15"/>
      <c r="R97" s="32">
        <f>IF(P$12=0,0,P97/P$12)</f>
        <v>0.25553892758065211</v>
      </c>
      <c r="S97" s="15"/>
      <c r="T97" s="33">
        <f>+T93-T95</f>
        <v>143340.73370182654</v>
      </c>
      <c r="U97" s="15"/>
      <c r="V97" s="32">
        <f>IF(T$12=0,0,T97/T$12)</f>
        <v>4.7943251622793011E-2</v>
      </c>
      <c r="W97" s="16"/>
      <c r="X97" s="33">
        <f>P97-T97</f>
        <v>840348.67629817361</v>
      </c>
      <c r="Y97" s="16"/>
      <c r="Z97" s="32">
        <f>IF(T97=0,0,X97/T97)</f>
        <v>5.8625950530310798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8" t="s">
        <v>297</v>
      </c>
      <c r="C100" s="28"/>
      <c r="D100" s="34">
        <f>SUM(D97:D99)</f>
        <v>247219.55999999979</v>
      </c>
      <c r="E100" s="15"/>
      <c r="F100" s="30">
        <f>IF(D$12=0,0,D100/D$12)</f>
        <v>0.36464972862073414</v>
      </c>
      <c r="G100" s="15"/>
      <c r="H100" s="34">
        <f>SUM(H97:H99)</f>
        <v>109765.62830878005</v>
      </c>
      <c r="I100" s="15"/>
      <c r="J100" s="30">
        <f>IF(H$12=0,0,H100/H$12)</f>
        <v>0.19798995005191208</v>
      </c>
      <c r="K100" s="16"/>
      <c r="L100" s="34">
        <f>+D100-H100</f>
        <v>137453.93169121974</v>
      </c>
      <c r="M100" s="16"/>
      <c r="N100" s="30">
        <f>IF(H100=0,0,L100/H100)</f>
        <v>1.2522493043500842</v>
      </c>
      <c r="O100" s="27"/>
      <c r="P100" s="34">
        <f>SUM(P97:P99)</f>
        <v>983689.41000000015</v>
      </c>
      <c r="Q100" s="15"/>
      <c r="R100" s="30">
        <f>IF(P$12=0,0,P100/P$12)</f>
        <v>0.25553892758065211</v>
      </c>
      <c r="S100" s="15"/>
      <c r="T100" s="34">
        <f>SUM(T97:T99)</f>
        <v>143340.73370182654</v>
      </c>
      <c r="U100" s="15"/>
      <c r="V100" s="30">
        <f>IF(T$12=0,0,T100/T$12)</f>
        <v>4.7943251622793011E-2</v>
      </c>
      <c r="W100" s="16"/>
      <c r="X100" s="34">
        <f>+P100-T100</f>
        <v>840348.67629817361</v>
      </c>
      <c r="Y100" s="16"/>
      <c r="Z100" s="30">
        <f>IF(T100=0,0,X100/T100)</f>
        <v>5.8625950530310798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0"/>
      <c r="B102" s="57">
        <v>44634.883430555557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0"/>
      <c r="B103" s="56" t="s">
        <v>298</v>
      </c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A104" s="10"/>
      <c r="B104" s="54"/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1"/>
      <c r="K105" s="19"/>
      <c r="L105" s="19"/>
      <c r="M105" s="19"/>
      <c r="P105" s="19"/>
      <c r="Q105" s="19"/>
      <c r="R105" s="41"/>
      <c r="S105" s="19"/>
      <c r="T105" s="19"/>
      <c r="U105" s="19"/>
      <c r="V105" s="41"/>
      <c r="W105" s="19"/>
      <c r="X105" s="19"/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1F673-C112-CE45-D08B-882BB0F25496}">
  <sheetPr>
    <tabColor rgb="FF92D050"/>
    <outlinePr summaryBelow="0" summaryRight="0"/>
  </sheetPr>
  <dimension ref="A2:Z10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","450"," - ","Beachside Dining Hall")</f>
        <v>Department 450 - Beachside Dining Hall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255748.21</v>
      </c>
      <c r="E12" s="5"/>
      <c r="F12" s="13"/>
      <c r="G12" s="5"/>
      <c r="H12" s="5">
        <f>SUM(OSRRefH13x_0)</f>
        <v>120960</v>
      </c>
      <c r="I12" s="5"/>
      <c r="J12" s="13"/>
      <c r="K12" s="5"/>
      <c r="L12" s="5">
        <f>+D12-H12</f>
        <v>134788.21</v>
      </c>
      <c r="M12" s="5"/>
      <c r="N12" s="13">
        <f>IF(H12=0,0,L12/H12)</f>
        <v>1.1143205191798942</v>
      </c>
      <c r="O12" s="11"/>
      <c r="P12" s="5">
        <f>SUM(OSRRefP13x_0)</f>
        <v>1270311.81</v>
      </c>
      <c r="Q12" s="5"/>
      <c r="R12" s="13"/>
      <c r="S12" s="5"/>
      <c r="T12" s="5">
        <f>SUM(OSRRefT13x_0)</f>
        <v>652320</v>
      </c>
      <c r="U12" s="5"/>
      <c r="V12" s="13"/>
      <c r="W12" s="5"/>
      <c r="X12" s="5">
        <f>+P12-T12</f>
        <v>617991.81000000006</v>
      </c>
      <c r="Y12" s="5"/>
      <c r="Z12" s="13">
        <f>IF(T12=0,0,X12/T12)</f>
        <v>0.94737522994849166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--52.48</f>
        <v>52.48</v>
      </c>
      <c r="E13" s="3"/>
      <c r="F13" s="20"/>
      <c r="G13" s="3"/>
      <c r="H13" s="3"/>
      <c r="I13" s="3"/>
      <c r="J13" s="20"/>
      <c r="K13" s="3"/>
      <c r="L13" s="3">
        <f>+D13-H13</f>
        <v>52.48</v>
      </c>
      <c r="M13" s="3"/>
      <c r="N13" s="20">
        <f>IF(H13=0,0,L13/H13)</f>
        <v>0</v>
      </c>
      <c r="O13" s="12"/>
      <c r="P13" s="3">
        <f>--245.84</f>
        <v>245.84</v>
      </c>
      <c r="Q13" s="3"/>
      <c r="R13" s="20"/>
      <c r="S13" s="3"/>
      <c r="T13" s="3"/>
      <c r="U13" s="3"/>
      <c r="V13" s="20"/>
      <c r="W13" s="3"/>
      <c r="X13" s="3">
        <f>+P13-T13</f>
        <v>245.84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120960</v>
      </c>
      <c r="I14" s="3"/>
      <c r="J14" s="20"/>
      <c r="K14" s="3"/>
      <c r="L14" s="3">
        <f>+D14-H14</f>
        <v>-120960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652320</v>
      </c>
      <c r="U14" s="3"/>
      <c r="V14" s="20"/>
      <c r="W14" s="3"/>
      <c r="X14" s="3">
        <f>+P14-T14</f>
        <v>-652320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--254494.61</f>
        <v>254494.61</v>
      </c>
      <c r="E15" s="3"/>
      <c r="F15" s="20"/>
      <c r="G15" s="3"/>
      <c r="H15" s="3"/>
      <c r="I15" s="3"/>
      <c r="J15" s="20"/>
      <c r="K15" s="3"/>
      <c r="L15" s="3">
        <f>+D15-H15</f>
        <v>254494.61</v>
      </c>
      <c r="M15" s="3"/>
      <c r="N15" s="20">
        <f>IF(H15=0,0,L15/H15)</f>
        <v>0</v>
      </c>
      <c r="O15" s="12"/>
      <c r="P15" s="3">
        <f>--1263897.18</f>
        <v>1263897.18</v>
      </c>
      <c r="Q15" s="3"/>
      <c r="R15" s="20"/>
      <c r="S15" s="3"/>
      <c r="T15" s="3"/>
      <c r="U15" s="3"/>
      <c r="V15" s="20"/>
      <c r="W15" s="3"/>
      <c r="X15" s="3">
        <f>+P15-T15</f>
        <v>1263897.18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--1201.12</f>
        <v>1201.1199999999999</v>
      </c>
      <c r="E16" s="3"/>
      <c r="F16" s="20"/>
      <c r="G16" s="3"/>
      <c r="H16" s="3"/>
      <c r="I16" s="3"/>
      <c r="J16" s="20"/>
      <c r="K16" s="3"/>
      <c r="L16" s="3">
        <f>+D16-H16</f>
        <v>1201.1199999999999</v>
      </c>
      <c r="M16" s="3"/>
      <c r="N16" s="20">
        <f>IF(H16=0,0,L16/H16)</f>
        <v>0</v>
      </c>
      <c r="O16" s="12"/>
      <c r="P16" s="3">
        <f>--6168.79</f>
        <v>6168.79</v>
      </c>
      <c r="Q16" s="3"/>
      <c r="R16" s="20"/>
      <c r="S16" s="3"/>
      <c r="T16" s="3"/>
      <c r="U16" s="3"/>
      <c r="V16" s="20"/>
      <c r="W16" s="3"/>
      <c r="X16" s="3">
        <f>+P16-T16</f>
        <v>6168.79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7" t="s">
        <v>288</v>
      </c>
      <c r="C18" s="11"/>
      <c r="D18" s="5">
        <f>SUM(OSRRefD16x_0)</f>
        <v>51252.57</v>
      </c>
      <c r="E18" s="5"/>
      <c r="F18" s="13">
        <f>IF(D$12=0,0,D18/D$12)</f>
        <v>0.20040245833978662</v>
      </c>
      <c r="G18" s="5"/>
      <c r="H18" s="5">
        <f>SUM(OSRRefH16x_0)</f>
        <v>29030</v>
      </c>
      <c r="I18" s="5"/>
      <c r="J18" s="13">
        <f>IF(H$12=0,0,H18/H$12)</f>
        <v>0.23999669312169311</v>
      </c>
      <c r="K18" s="5"/>
      <c r="L18" s="5">
        <f>+D18-H18</f>
        <v>22222.57</v>
      </c>
      <c r="M18" s="5"/>
      <c r="N18" s="13">
        <f>IF(H18=0,0,L18/H18)</f>
        <v>0.76550361694798486</v>
      </c>
      <c r="O18" s="11"/>
      <c r="P18" s="5">
        <f>SUM(OSRRefP16x_0)</f>
        <v>313067.15999999997</v>
      </c>
      <c r="Q18" s="5"/>
      <c r="R18" s="13">
        <f>IF(P$12=0,0,P18/P$12)</f>
        <v>0.24644906670591368</v>
      </c>
      <c r="S18" s="5"/>
      <c r="T18" s="5">
        <f>SUM(OSRRefT16x_0)</f>
        <v>173813</v>
      </c>
      <c r="U18" s="5"/>
      <c r="V18" s="13">
        <f>IF(T$12=0,0,T18/T$12)</f>
        <v>0.26645358106450823</v>
      </c>
      <c r="W18" s="5"/>
      <c r="X18" s="5">
        <f>+P18-T18</f>
        <v>139254.15999999997</v>
      </c>
      <c r="Y18" s="5"/>
      <c r="Z18" s="13">
        <f>IF(T18=0,0,X18/T18)</f>
        <v>0.80117229436233184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29030</v>
      </c>
      <c r="I19" s="3"/>
      <c r="J19" s="20">
        <f>IF(H$12=0,0,H19/H$12)</f>
        <v>0.23999669312169311</v>
      </c>
      <c r="K19" s="3"/>
      <c r="L19" s="3">
        <f>+D19-H19</f>
        <v>-29030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173813</v>
      </c>
      <c r="U19" s="3"/>
      <c r="V19" s="20">
        <f>IF(T$12=0,0,T19/T$12)</f>
        <v>0.26645358106450823</v>
      </c>
      <c r="W19" s="3"/>
      <c r="X19" s="3">
        <f>+P19-T19</f>
        <v>-173813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57968.57</v>
      </c>
      <c r="E20" s="3"/>
      <c r="F20" s="20">
        <f>IF(D$12=0,0,D20/D$12)</f>
        <v>0.22666266168588239</v>
      </c>
      <c r="G20" s="3"/>
      <c r="H20" s="3"/>
      <c r="I20" s="3"/>
      <c r="J20" s="20">
        <f>IF(H$12=0,0,H20/H$12)</f>
        <v>0</v>
      </c>
      <c r="K20" s="3"/>
      <c r="L20" s="3">
        <f>+D20-H20</f>
        <v>57968.57</v>
      </c>
      <c r="M20" s="3"/>
      <c r="N20" s="20">
        <f>IF(H20=0,0,L20/H20)</f>
        <v>0</v>
      </c>
      <c r="O20" s="12"/>
      <c r="P20" s="3">
        <v>331562.21999999997</v>
      </c>
      <c r="Q20" s="3"/>
      <c r="R20" s="20">
        <f>IF(P$12=0,0,P20/P$12)</f>
        <v>0.26100853144079639</v>
      </c>
      <c r="S20" s="3"/>
      <c r="T20" s="3"/>
      <c r="U20" s="3"/>
      <c r="V20" s="20">
        <f>IF(T$12=0,0,T20/T$12)</f>
        <v>0</v>
      </c>
      <c r="W20" s="3"/>
      <c r="X20" s="3">
        <f>+P20-T20</f>
        <v>331562.21999999997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-6716</v>
      </c>
      <c r="E21" s="3"/>
      <c r="F21" s="20">
        <f>IF(D$12=0,0,D21/D$12)</f>
        <v>-2.6260203346095756E-2</v>
      </c>
      <c r="G21" s="3"/>
      <c r="H21" s="3"/>
      <c r="I21" s="3"/>
      <c r="J21" s="20">
        <f>IF(H$12=0,0,H21/H$12)</f>
        <v>0</v>
      </c>
      <c r="K21" s="3"/>
      <c r="L21" s="3">
        <f>+D21-H21</f>
        <v>-6716</v>
      </c>
      <c r="M21" s="3"/>
      <c r="N21" s="20">
        <f>IF(H21=0,0,L21/H21)</f>
        <v>0</v>
      </c>
      <c r="O21" s="12"/>
      <c r="P21" s="3">
        <v>-18495.060000000001</v>
      </c>
      <c r="Q21" s="3"/>
      <c r="R21" s="20">
        <f>IF(P$12=0,0,P21/P$12)</f>
        <v>-1.4559464734882691E-2</v>
      </c>
      <c r="S21" s="3"/>
      <c r="T21" s="3"/>
      <c r="U21" s="3"/>
      <c r="V21" s="20">
        <f>IF(T$12=0,0,T21/T$12)</f>
        <v>0</v>
      </c>
      <c r="W21" s="3"/>
      <c r="X21" s="3">
        <f>+P21-T21</f>
        <v>-18495.060000000001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8" t="s">
        <v>289</v>
      </c>
      <c r="C23" s="28"/>
      <c r="D23" s="21">
        <f>D12-D18</f>
        <v>204495.63999999998</v>
      </c>
      <c r="E23" s="15"/>
      <c r="F23" s="22">
        <f>IF(D$12=0,0,D23/D$12)</f>
        <v>0.79959754166021335</v>
      </c>
      <c r="G23" s="15"/>
      <c r="H23" s="21">
        <f>H12-H18</f>
        <v>91930</v>
      </c>
      <c r="I23" s="15"/>
      <c r="J23" s="22">
        <f>IF(H$12=0,0,H23/H$12)</f>
        <v>0.76000330687830686</v>
      </c>
      <c r="K23" s="16"/>
      <c r="L23" s="21">
        <f>+D23-H23</f>
        <v>112565.63999999998</v>
      </c>
      <c r="M23" s="16"/>
      <c r="N23" s="22">
        <f>IF(H23=0,0,L23/H23)</f>
        <v>1.2244712281083432</v>
      </c>
      <c r="O23" s="27"/>
      <c r="P23" s="21">
        <f>P12-P18</f>
        <v>957244.65000000014</v>
      </c>
      <c r="Q23" s="15"/>
      <c r="R23" s="22">
        <f>IF(P$12=0,0,P23/P$12)</f>
        <v>0.7535509332940864</v>
      </c>
      <c r="S23" s="15"/>
      <c r="T23" s="21">
        <f>T12-T18</f>
        <v>478507</v>
      </c>
      <c r="U23" s="15"/>
      <c r="V23" s="22">
        <f>IF(T$12=0,0,T23/T$12)</f>
        <v>0.73354641893549177</v>
      </c>
      <c r="W23" s="16"/>
      <c r="X23" s="21">
        <f>+P23-T23</f>
        <v>478737.65000000014</v>
      </c>
      <c r="Y23" s="16"/>
      <c r="Z23" s="22">
        <f>IF(T23=0,0,X23/T23)</f>
        <v>1.0004820201167384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7" t="s">
        <v>290</v>
      </c>
      <c r="C25" s="11"/>
      <c r="D25" s="23" cm="1">
        <f t="array" ref="D25">SUM(OSRRefD22x_0)</f>
        <v>133254.39999999999</v>
      </c>
      <c r="E25" s="23"/>
      <c r="F25" s="29">
        <f t="shared" ref="F25:F56" si="0">IF(D$12=0,0,D25/D$12)</f>
        <v>0.52103746884484547</v>
      </c>
      <c r="G25" s="23"/>
      <c r="H25" s="23" cm="1">
        <f t="array" ref="H25">SUM(OSRRefH22x_0)</f>
        <v>128826.50299692311</v>
      </c>
      <c r="I25" s="23"/>
      <c r="J25" s="29">
        <f t="shared" ref="J25:J56" si="1">IF(H$12=0,0,H25/H$12)</f>
        <v>1.0650339202787955</v>
      </c>
      <c r="K25" s="5"/>
      <c r="L25" s="23">
        <f t="shared" ref="L25:L56" si="2">+D25-H25</f>
        <v>4427.8970030768833</v>
      </c>
      <c r="M25" s="5"/>
      <c r="N25" s="29">
        <f t="shared" ref="N25:N56" si="3">IF(H25=0,0,L25/H25)</f>
        <v>3.4371009847116933E-2</v>
      </c>
      <c r="O25" s="11"/>
      <c r="P25" s="23" cm="1">
        <f t="array" ref="P25">SUM(OSRRefP22x_0)</f>
        <v>879755.81</v>
      </c>
      <c r="Q25" s="23"/>
      <c r="R25" s="29">
        <f t="shared" ref="R25:R56" si="4">IF(P$12=0,0,P25/P$12)</f>
        <v>0.69255107531433568</v>
      </c>
      <c r="S25" s="23"/>
      <c r="T25" s="23" cm="1">
        <f t="array" ref="T25">SUM(OSRRefT22x_0)</f>
        <v>955426.33872307732</v>
      </c>
      <c r="U25" s="23"/>
      <c r="V25" s="29">
        <f t="shared" ref="V25:V56" si="5">IF(T$12=0,0,T25/T$12)</f>
        <v>1.4646589690996403</v>
      </c>
      <c r="W25" s="5"/>
      <c r="X25" s="23">
        <f t="shared" ref="X25:X56" si="6">+P25-T25</f>
        <v>-75670.528723077266</v>
      </c>
      <c r="Y25" s="5"/>
      <c r="Z25" s="29">
        <f t="shared" ref="Z25:Z56" si="7">IF(T25=0,0,X25/T25)</f>
        <v>-7.9200798278400569E-2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25878.030000000002</v>
      </c>
      <c r="E26" s="2"/>
      <c r="F26" s="6">
        <f t="shared" si="0"/>
        <v>0.10118557623531364</v>
      </c>
      <c r="G26" s="2"/>
      <c r="H26" s="2">
        <f>SUM(OSRRefH22_0x_0)</f>
        <v>30532.239612307727</v>
      </c>
      <c r="I26" s="2"/>
      <c r="J26" s="6">
        <f t="shared" si="1"/>
        <v>0.25241600208587739</v>
      </c>
      <c r="K26" s="2"/>
      <c r="L26" s="2">
        <f t="shared" si="2"/>
        <v>-4654.2096123077245</v>
      </c>
      <c r="M26" s="2"/>
      <c r="N26" s="6">
        <f t="shared" si="3"/>
        <v>-0.15243590615709648</v>
      </c>
      <c r="O26" s="14"/>
      <c r="P26" s="2">
        <f>SUM(OSRRefP22_0x_0)</f>
        <v>185614.12999999998</v>
      </c>
      <c r="Q26" s="2"/>
      <c r="R26" s="6">
        <f t="shared" si="4"/>
        <v>0.14611698367190648</v>
      </c>
      <c r="S26" s="2"/>
      <c r="T26" s="2">
        <f>SUM(OSRRefT22_0x_0)</f>
        <v>256331.70210769272</v>
      </c>
      <c r="U26" s="2"/>
      <c r="V26" s="6">
        <f t="shared" si="5"/>
        <v>0.39295392155336756</v>
      </c>
      <c r="W26" s="2"/>
      <c r="X26" s="2">
        <f t="shared" si="6"/>
        <v>-70717.572107692744</v>
      </c>
      <c r="Y26" s="2"/>
      <c r="Z26" s="6">
        <f t="shared" si="7"/>
        <v>-0.27588305124265178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8">
        <v>3555.4</v>
      </c>
      <c r="E27" s="3"/>
      <c r="F27" s="7">
        <f t="shared" si="0"/>
        <v>1.3901954582595124E-2</v>
      </c>
      <c r="G27" s="3"/>
      <c r="H27" s="8">
        <v>2633.9977661538501</v>
      </c>
      <c r="I27" s="3"/>
      <c r="J27" s="7">
        <f t="shared" si="1"/>
        <v>2.1775775183150214E-2</v>
      </c>
      <c r="K27" s="3"/>
      <c r="L27" s="8">
        <f t="shared" si="2"/>
        <v>921.40223384615001</v>
      </c>
      <c r="M27" s="3"/>
      <c r="N27" s="7">
        <f t="shared" si="3"/>
        <v>0.34981131938907328</v>
      </c>
      <c r="O27" s="12"/>
      <c r="P27" s="8">
        <v>24432.57</v>
      </c>
      <c r="Q27" s="3"/>
      <c r="R27" s="7">
        <f t="shared" si="4"/>
        <v>1.9233521886252478E-2</v>
      </c>
      <c r="S27" s="3"/>
      <c r="T27" s="8">
        <v>24038.543953846201</v>
      </c>
      <c r="U27" s="3"/>
      <c r="V27" s="7">
        <f t="shared" si="5"/>
        <v>3.6850846139695553E-2</v>
      </c>
      <c r="W27" s="3"/>
      <c r="X27" s="8">
        <f t="shared" si="6"/>
        <v>394.02604615379823</v>
      </c>
      <c r="Y27" s="3"/>
      <c r="Z27" s="7">
        <f t="shared" si="7"/>
        <v>1.6391427322317229E-2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8">
        <v>2480</v>
      </c>
      <c r="E28" s="3"/>
      <c r="F28" s="7">
        <f t="shared" si="0"/>
        <v>9.6970375667536444E-3</v>
      </c>
      <c r="G28" s="3"/>
      <c r="H28" s="8">
        <v>2902.0881292307699</v>
      </c>
      <c r="I28" s="3"/>
      <c r="J28" s="7">
        <f t="shared" si="1"/>
        <v>2.3992130698005702E-2</v>
      </c>
      <c r="K28" s="3"/>
      <c r="L28" s="8">
        <f t="shared" si="2"/>
        <v>-422.08812923076994</v>
      </c>
      <c r="M28" s="3"/>
      <c r="N28" s="7">
        <f t="shared" si="3"/>
        <v>-0.14544290539607044</v>
      </c>
      <c r="O28" s="12"/>
      <c r="P28" s="8">
        <v>15632.9</v>
      </c>
      <c r="Q28" s="3"/>
      <c r="R28" s="7">
        <f t="shared" si="4"/>
        <v>1.2306348627901051E-2</v>
      </c>
      <c r="S28" s="3"/>
      <c r="T28" s="8">
        <v>20579.993870769202</v>
      </c>
      <c r="U28" s="3"/>
      <c r="V28" s="7">
        <f t="shared" si="5"/>
        <v>3.1548923642950089E-2</v>
      </c>
      <c r="W28" s="3"/>
      <c r="X28" s="8">
        <f t="shared" si="6"/>
        <v>-4947.0938707692021</v>
      </c>
      <c r="Y28" s="3"/>
      <c r="Z28" s="7">
        <f t="shared" si="7"/>
        <v>-0.24038364160038977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8">
        <v>12774.24</v>
      </c>
      <c r="E29" s="3"/>
      <c r="F29" s="7">
        <f t="shared" si="0"/>
        <v>4.9948502083357688E-2</v>
      </c>
      <c r="G29" s="3"/>
      <c r="H29" s="8">
        <v>18578.538461538501</v>
      </c>
      <c r="I29" s="3"/>
      <c r="J29" s="7">
        <f t="shared" si="1"/>
        <v>0.15359241452991484</v>
      </c>
      <c r="K29" s="3"/>
      <c r="L29" s="8">
        <f t="shared" si="2"/>
        <v>-5804.2984615385012</v>
      </c>
      <c r="M29" s="3"/>
      <c r="N29" s="7">
        <f t="shared" si="3"/>
        <v>-0.31241954115791321</v>
      </c>
      <c r="O29" s="12"/>
      <c r="P29" s="8">
        <v>97025.85</v>
      </c>
      <c r="Q29" s="3"/>
      <c r="R29" s="7">
        <f t="shared" si="4"/>
        <v>7.6379554402473834E-2</v>
      </c>
      <c r="S29" s="3"/>
      <c r="T29" s="8">
        <v>161079.461538462</v>
      </c>
      <c r="U29" s="3"/>
      <c r="V29" s="7">
        <f t="shared" si="5"/>
        <v>0.2469331946567053</v>
      </c>
      <c r="W29" s="3"/>
      <c r="X29" s="8">
        <f t="shared" si="6"/>
        <v>-64053.611538461992</v>
      </c>
      <c r="Y29" s="3"/>
      <c r="Z29" s="7">
        <f t="shared" si="7"/>
        <v>-0.39765225762917944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8">
        <v>179.15</v>
      </c>
      <c r="E30" s="3"/>
      <c r="F30" s="7">
        <f t="shared" si="0"/>
        <v>7.0049366132415945E-4</v>
      </c>
      <c r="G30" s="3"/>
      <c r="H30" s="8">
        <v>160.80171692307701</v>
      </c>
      <c r="I30" s="3"/>
      <c r="J30" s="7">
        <f t="shared" si="1"/>
        <v>1.3293792735042742E-3</v>
      </c>
      <c r="K30" s="3"/>
      <c r="L30" s="8">
        <f t="shared" si="2"/>
        <v>18.348283076922996</v>
      </c>
      <c r="M30" s="3"/>
      <c r="N30" s="7">
        <f t="shared" si="3"/>
        <v>0.11410501969764598</v>
      </c>
      <c r="O30" s="12"/>
      <c r="P30" s="8">
        <v>1129.08</v>
      </c>
      <c r="Q30" s="3"/>
      <c r="R30" s="7">
        <f t="shared" si="4"/>
        <v>8.8882114699067455E-4</v>
      </c>
      <c r="S30" s="3"/>
      <c r="T30" s="8">
        <v>1140.3162830769199</v>
      </c>
      <c r="U30" s="3"/>
      <c r="V30" s="7">
        <f t="shared" si="5"/>
        <v>1.7480933944642506E-3</v>
      </c>
      <c r="W30" s="3"/>
      <c r="X30" s="8">
        <f t="shared" si="6"/>
        <v>-11.236283076920017</v>
      </c>
      <c r="Y30" s="3"/>
      <c r="Z30" s="7">
        <f t="shared" si="7"/>
        <v>-9.8536548531966157E-3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8">
        <v>1240.45</v>
      </c>
      <c r="E31" s="3"/>
      <c r="F31" s="7">
        <f t="shared" si="0"/>
        <v>4.8502783264836929E-3</v>
      </c>
      <c r="G31" s="3"/>
      <c r="H31" s="8">
        <v>408.83076923076902</v>
      </c>
      <c r="I31" s="3"/>
      <c r="J31" s="7">
        <f t="shared" si="1"/>
        <v>3.379884004884003E-3</v>
      </c>
      <c r="K31" s="3"/>
      <c r="L31" s="8">
        <f t="shared" si="2"/>
        <v>831.61923076923108</v>
      </c>
      <c r="M31" s="3"/>
      <c r="N31" s="7">
        <f t="shared" si="3"/>
        <v>2.0341405132836625</v>
      </c>
      <c r="O31" s="12"/>
      <c r="P31" s="8">
        <v>5887.59</v>
      </c>
      <c r="Q31" s="3"/>
      <c r="R31" s="7">
        <f t="shared" si="4"/>
        <v>4.6347597130502946E-3</v>
      </c>
      <c r="S31" s="3"/>
      <c r="T31" s="8">
        <v>3577.26923076923</v>
      </c>
      <c r="U31" s="3"/>
      <c r="V31" s="7">
        <f t="shared" si="5"/>
        <v>5.4839177562687486E-3</v>
      </c>
      <c r="W31" s="3"/>
      <c r="X31" s="8">
        <f t="shared" si="6"/>
        <v>2310.3207692307701</v>
      </c>
      <c r="Y31" s="3"/>
      <c r="Z31" s="7">
        <f t="shared" si="7"/>
        <v>0.64583362900364516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8">
        <v>517.77</v>
      </c>
      <c r="E33" s="3"/>
      <c r="F33" s="7">
        <f t="shared" si="0"/>
        <v>2.0245302987653363E-3</v>
      </c>
      <c r="G33" s="3"/>
      <c r="H33" s="8"/>
      <c r="I33" s="3"/>
      <c r="J33" s="7">
        <f t="shared" si="1"/>
        <v>0</v>
      </c>
      <c r="K33" s="3"/>
      <c r="L33" s="8">
        <f t="shared" si="2"/>
        <v>517.77</v>
      </c>
      <c r="M33" s="3"/>
      <c r="N33" s="7">
        <f t="shared" si="3"/>
        <v>0</v>
      </c>
      <c r="O33" s="12"/>
      <c r="P33" s="8">
        <v>5554.7</v>
      </c>
      <c r="Q33" s="3"/>
      <c r="R33" s="7">
        <f t="shared" si="4"/>
        <v>4.3727059421733629E-3</v>
      </c>
      <c r="S33" s="3"/>
      <c r="T33" s="8"/>
      <c r="U33" s="3"/>
      <c r="V33" s="7">
        <f t="shared" si="5"/>
        <v>0</v>
      </c>
      <c r="W33" s="3"/>
      <c r="X33" s="8">
        <f t="shared" si="6"/>
        <v>5554.7</v>
      </c>
      <c r="Y33" s="3"/>
      <c r="Z33" s="7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8">
        <v>2175.36</v>
      </c>
      <c r="E34" s="3"/>
      <c r="F34" s="7">
        <f t="shared" si="0"/>
        <v>8.5058659843601642E-3</v>
      </c>
      <c r="G34" s="3"/>
      <c r="H34" s="8">
        <v>1625.81538461538</v>
      </c>
      <c r="I34" s="3"/>
      <c r="J34" s="7">
        <f t="shared" si="1"/>
        <v>1.3440934065934027E-2</v>
      </c>
      <c r="K34" s="3"/>
      <c r="L34" s="8">
        <f t="shared" si="2"/>
        <v>549.5446153846201</v>
      </c>
      <c r="M34" s="3"/>
      <c r="N34" s="7">
        <f t="shared" si="3"/>
        <v>0.33801169590643659</v>
      </c>
      <c r="O34" s="12"/>
      <c r="P34" s="8">
        <v>14673.12</v>
      </c>
      <c r="Q34" s="3"/>
      <c r="R34" s="7">
        <f t="shared" si="4"/>
        <v>1.1550801846044397E-2</v>
      </c>
      <c r="S34" s="3"/>
      <c r="T34" s="8">
        <v>14225.884615384601</v>
      </c>
      <c r="U34" s="3"/>
      <c r="V34" s="7">
        <f t="shared" si="5"/>
        <v>2.1808138053998959E-2</v>
      </c>
      <c r="W34" s="3"/>
      <c r="X34" s="8">
        <f t="shared" si="6"/>
        <v>447.23538461540011</v>
      </c>
      <c r="Y34" s="3"/>
      <c r="Z34" s="7">
        <f t="shared" si="7"/>
        <v>3.1438142281270641E-2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8">
        <v>1652.22</v>
      </c>
      <c r="E35" s="3"/>
      <c r="F35" s="7">
        <f t="shared" si="0"/>
        <v>6.460338471186172E-3</v>
      </c>
      <c r="G35" s="3"/>
      <c r="H35" s="8">
        <v>2297.1673846153799</v>
      </c>
      <c r="I35" s="3"/>
      <c r="J35" s="7">
        <f t="shared" si="1"/>
        <v>1.899113247863244E-2</v>
      </c>
      <c r="K35" s="3"/>
      <c r="L35" s="8">
        <f t="shared" si="2"/>
        <v>-644.94738461537986</v>
      </c>
      <c r="M35" s="3"/>
      <c r="N35" s="7">
        <f t="shared" si="3"/>
        <v>-0.28075767962523329</v>
      </c>
      <c r="O35" s="12"/>
      <c r="P35" s="8">
        <v>12651.27</v>
      </c>
      <c r="Q35" s="3"/>
      <c r="R35" s="7">
        <f t="shared" si="4"/>
        <v>9.9591847453579137E-3</v>
      </c>
      <c r="S35" s="3"/>
      <c r="T35" s="8">
        <v>16290.232615384601</v>
      </c>
      <c r="U35" s="3"/>
      <c r="V35" s="7">
        <f t="shared" si="5"/>
        <v>2.4972762778060768E-2</v>
      </c>
      <c r="W35" s="3"/>
      <c r="X35" s="8">
        <f t="shared" si="6"/>
        <v>-3638.9626153846002</v>
      </c>
      <c r="Y35" s="3"/>
      <c r="Z35" s="7">
        <f t="shared" si="7"/>
        <v>-0.22338309717860877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8">
        <v>1303.44</v>
      </c>
      <c r="E36" s="3"/>
      <c r="F36" s="7">
        <f t="shared" si="0"/>
        <v>5.0965752604876496E-3</v>
      </c>
      <c r="G36" s="3"/>
      <c r="H36" s="8">
        <v>1925</v>
      </c>
      <c r="I36" s="3"/>
      <c r="J36" s="7">
        <f t="shared" si="1"/>
        <v>1.5914351851851853E-2</v>
      </c>
      <c r="K36" s="3"/>
      <c r="L36" s="8">
        <f t="shared" si="2"/>
        <v>-621.55999999999995</v>
      </c>
      <c r="M36" s="3"/>
      <c r="N36" s="7">
        <f t="shared" si="3"/>
        <v>-0.32288831168831167</v>
      </c>
      <c r="O36" s="12"/>
      <c r="P36" s="8">
        <v>8627.0499999999993</v>
      </c>
      <c r="Q36" s="3"/>
      <c r="R36" s="7">
        <f t="shared" si="4"/>
        <v>6.7912853616625031E-3</v>
      </c>
      <c r="S36" s="3"/>
      <c r="T36" s="8">
        <v>15400</v>
      </c>
      <c r="U36" s="3"/>
      <c r="V36" s="7">
        <f t="shared" si="5"/>
        <v>2.3608045131223939E-2</v>
      </c>
      <c r="W36" s="3"/>
      <c r="X36" s="8">
        <f t="shared" si="6"/>
        <v>-6772.9500000000007</v>
      </c>
      <c r="Y36" s="3"/>
      <c r="Z36" s="7">
        <f t="shared" si="7"/>
        <v>-0.43980194805194811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69521.95</v>
      </c>
      <c r="E37" s="2"/>
      <c r="F37" s="6">
        <f t="shared" si="0"/>
        <v>0.27183748421934212</v>
      </c>
      <c r="G37" s="2"/>
      <c r="H37" s="2">
        <f>SUM(OSRRefH22_1x_0)</f>
        <v>72649.263384615377</v>
      </c>
      <c r="I37" s="2"/>
      <c r="J37" s="6">
        <f t="shared" si="1"/>
        <v>0.60060568274318271</v>
      </c>
      <c r="K37" s="2"/>
      <c r="L37" s="2">
        <f t="shared" si="2"/>
        <v>-3127.3133846153796</v>
      </c>
      <c r="M37" s="2"/>
      <c r="N37" s="6">
        <f t="shared" si="3"/>
        <v>-4.3046732188583174E-2</v>
      </c>
      <c r="O37" s="14"/>
      <c r="P37" s="2">
        <f>SUM(OSRRefP22_1x_0)</f>
        <v>474128.5</v>
      </c>
      <c r="Q37" s="2"/>
      <c r="R37" s="6">
        <f t="shared" si="4"/>
        <v>0.37323789030978149</v>
      </c>
      <c r="S37" s="2"/>
      <c r="T37" s="2">
        <f>SUM(OSRRefT22_1x_0)</f>
        <v>512491.63661538466</v>
      </c>
      <c r="U37" s="2"/>
      <c r="V37" s="6">
        <f t="shared" si="5"/>
        <v>0.78564452510329996</v>
      </c>
      <c r="W37" s="2"/>
      <c r="X37" s="2">
        <f t="shared" si="6"/>
        <v>-38363.136615384661</v>
      </c>
      <c r="Y37" s="2"/>
      <c r="Z37" s="6">
        <f t="shared" si="7"/>
        <v>-7.4856122274977677E-2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8">
        <v>14672.94</v>
      </c>
      <c r="E39" s="3"/>
      <c r="F39" s="7">
        <f t="shared" si="0"/>
        <v>5.73726009656138E-2</v>
      </c>
      <c r="G39" s="3"/>
      <c r="H39" s="8">
        <v>4468.6153846153802</v>
      </c>
      <c r="I39" s="3"/>
      <c r="J39" s="7">
        <f t="shared" si="1"/>
        <v>3.6942918192918159E-2</v>
      </c>
      <c r="K39" s="3"/>
      <c r="L39" s="8">
        <f t="shared" si="2"/>
        <v>10204.324615384619</v>
      </c>
      <c r="M39" s="3"/>
      <c r="N39" s="7">
        <f t="shared" si="3"/>
        <v>2.2835540177649278</v>
      </c>
      <c r="O39" s="12"/>
      <c r="P39" s="8">
        <v>63435.02</v>
      </c>
      <c r="Q39" s="3"/>
      <c r="R39" s="7">
        <f t="shared" si="4"/>
        <v>4.9936574233691487E-2</v>
      </c>
      <c r="S39" s="3"/>
      <c r="T39" s="8">
        <v>39100.384615384603</v>
      </c>
      <c r="U39" s="3"/>
      <c r="V39" s="7">
        <f t="shared" si="5"/>
        <v>5.9940496405728176E-2</v>
      </c>
      <c r="W39" s="3"/>
      <c r="X39" s="8">
        <f t="shared" si="6"/>
        <v>24334.635384615394</v>
      </c>
      <c r="Y39" s="3"/>
      <c r="Z39" s="7">
        <f t="shared" si="7"/>
        <v>0.62236306941698438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8">
        <v>29172.51</v>
      </c>
      <c r="E41" s="3"/>
      <c r="F41" s="7">
        <f t="shared" si="0"/>
        <v>0.11406730862358723</v>
      </c>
      <c r="G41" s="3"/>
      <c r="H41" s="8">
        <v>27290.880000000001</v>
      </c>
      <c r="I41" s="3"/>
      <c r="J41" s="7">
        <f t="shared" si="1"/>
        <v>0.22561904761904764</v>
      </c>
      <c r="K41" s="3"/>
      <c r="L41" s="8">
        <f t="shared" si="2"/>
        <v>1881.6299999999974</v>
      </c>
      <c r="M41" s="3"/>
      <c r="N41" s="7">
        <f t="shared" si="3"/>
        <v>6.8947208737863974E-2</v>
      </c>
      <c r="O41" s="12"/>
      <c r="P41" s="8">
        <v>197574.32</v>
      </c>
      <c r="Q41" s="3"/>
      <c r="R41" s="7">
        <f t="shared" si="4"/>
        <v>0.15553214450552891</v>
      </c>
      <c r="S41" s="3"/>
      <c r="T41" s="8">
        <v>238795.2</v>
      </c>
      <c r="U41" s="3"/>
      <c r="V41" s="7">
        <f t="shared" si="5"/>
        <v>0.36607064017660046</v>
      </c>
      <c r="W41" s="3"/>
      <c r="X41" s="8">
        <f t="shared" si="6"/>
        <v>-41220.880000000005</v>
      </c>
      <c r="Y41" s="3"/>
      <c r="Z41" s="7">
        <f t="shared" si="7"/>
        <v>-0.17262022017192977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8">
        <v>9174.07</v>
      </c>
      <c r="E42" s="3"/>
      <c r="F42" s="7">
        <f t="shared" si="0"/>
        <v>3.5871492512107903E-2</v>
      </c>
      <c r="G42" s="3"/>
      <c r="H42" s="8">
        <v>7760</v>
      </c>
      <c r="I42" s="3"/>
      <c r="J42" s="7">
        <f t="shared" si="1"/>
        <v>6.4153439153439157E-2</v>
      </c>
      <c r="K42" s="3"/>
      <c r="L42" s="8">
        <f t="shared" si="2"/>
        <v>1414.0699999999997</v>
      </c>
      <c r="M42" s="3"/>
      <c r="N42" s="7">
        <f t="shared" si="3"/>
        <v>0.18222551546391749</v>
      </c>
      <c r="O42" s="12"/>
      <c r="P42" s="8">
        <v>81344.62</v>
      </c>
      <c r="Q42" s="3"/>
      <c r="R42" s="7">
        <f t="shared" si="4"/>
        <v>6.4035159997449756E-2</v>
      </c>
      <c r="S42" s="3"/>
      <c r="T42" s="8">
        <v>51138.400000000001</v>
      </c>
      <c r="U42" s="3"/>
      <c r="V42" s="7">
        <f t="shared" si="5"/>
        <v>7.839465293107678E-2</v>
      </c>
      <c r="W42" s="3"/>
      <c r="X42" s="8">
        <f t="shared" si="6"/>
        <v>30206.219999999994</v>
      </c>
      <c r="Y42" s="3"/>
      <c r="Z42" s="7">
        <f t="shared" si="7"/>
        <v>0.59067589130672826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8">
        <v>9849.0300000000007</v>
      </c>
      <c r="E44" s="3"/>
      <c r="F44" s="7">
        <f t="shared" si="0"/>
        <v>3.8510650768582115E-2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9849.0300000000007</v>
      </c>
      <c r="M44" s="3"/>
      <c r="N44" s="7">
        <f t="shared" si="3"/>
        <v>0</v>
      </c>
      <c r="O44" s="12"/>
      <c r="P44" s="8">
        <v>101771.39</v>
      </c>
      <c r="Q44" s="3"/>
      <c r="R44" s="7">
        <f t="shared" si="4"/>
        <v>8.011528287688674E-2</v>
      </c>
      <c r="S44" s="3"/>
      <c r="T44" s="8">
        <v>12561.5</v>
      </c>
      <c r="U44" s="3"/>
      <c r="V44" s="7">
        <f t="shared" si="5"/>
        <v>1.9256653176355162E-2</v>
      </c>
      <c r="W44" s="3"/>
      <c r="X44" s="8">
        <f t="shared" si="6"/>
        <v>89209.89</v>
      </c>
      <c r="Y44" s="3"/>
      <c r="Z44" s="7">
        <f t="shared" si="7"/>
        <v>7.1018500975202006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8">
        <v>6653.4</v>
      </c>
      <c r="E45" s="3"/>
      <c r="F45" s="7">
        <f t="shared" si="0"/>
        <v>2.6015431349451088E-2</v>
      </c>
      <c r="G45" s="3"/>
      <c r="H45" s="8">
        <v>33129.767999999996</v>
      </c>
      <c r="I45" s="3"/>
      <c r="J45" s="7">
        <f t="shared" si="1"/>
        <v>0.27389027777777775</v>
      </c>
      <c r="K45" s="3"/>
      <c r="L45" s="8">
        <f t="shared" si="2"/>
        <v>-26476.367999999995</v>
      </c>
      <c r="M45" s="3"/>
      <c r="N45" s="7">
        <f t="shared" si="3"/>
        <v>-0.79917154868093243</v>
      </c>
      <c r="O45" s="12"/>
      <c r="P45" s="8">
        <v>30003.15</v>
      </c>
      <c r="Q45" s="3"/>
      <c r="R45" s="7">
        <f t="shared" si="4"/>
        <v>2.361872869622459E-2</v>
      </c>
      <c r="S45" s="3"/>
      <c r="T45" s="8">
        <v>170896.152</v>
      </c>
      <c r="U45" s="3"/>
      <c r="V45" s="7">
        <f t="shared" si="5"/>
        <v>0.26198208241353937</v>
      </c>
      <c r="W45" s="3"/>
      <c r="X45" s="8">
        <f t="shared" si="6"/>
        <v>-140893.00200000001</v>
      </c>
      <c r="Y45" s="3"/>
      <c r="Z45" s="7">
        <f t="shared" si="7"/>
        <v>-0.82443636296737688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0</v>
      </c>
      <c r="E48" s="2"/>
      <c r="F48" s="6">
        <f t="shared" si="0"/>
        <v>0</v>
      </c>
      <c r="G48" s="2"/>
      <c r="H48" s="2">
        <f>SUM(OSRRefH22_2x_0)</f>
        <v>350</v>
      </c>
      <c r="I48" s="2"/>
      <c r="J48" s="6">
        <f t="shared" si="1"/>
        <v>2.8935185185185184E-3</v>
      </c>
      <c r="K48" s="2"/>
      <c r="L48" s="2">
        <f t="shared" si="2"/>
        <v>-350</v>
      </c>
      <c r="M48" s="2"/>
      <c r="N48" s="6">
        <f t="shared" si="3"/>
        <v>-1</v>
      </c>
      <c r="O48" s="14"/>
      <c r="P48" s="2">
        <f>SUM(OSRRefP22_2x_0)</f>
        <v>1053.75</v>
      </c>
      <c r="Q48" s="2"/>
      <c r="R48" s="6">
        <f t="shared" si="4"/>
        <v>8.2952074577658213E-4</v>
      </c>
      <c r="S48" s="2"/>
      <c r="T48" s="2">
        <f>SUM(OSRRefT22_2x_0)</f>
        <v>2800</v>
      </c>
      <c r="U48" s="2"/>
      <c r="V48" s="6">
        <f t="shared" si="5"/>
        <v>4.2923718420407164E-3</v>
      </c>
      <c r="W48" s="2"/>
      <c r="X48" s="2">
        <f t="shared" si="6"/>
        <v>-1746.25</v>
      </c>
      <c r="Y48" s="2"/>
      <c r="Z48" s="6">
        <f t="shared" si="7"/>
        <v>-0.62366071428571423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8"/>
      <c r="E49" s="3"/>
      <c r="F49" s="7">
        <f t="shared" si="0"/>
        <v>0</v>
      </c>
      <c r="G49" s="3"/>
      <c r="H49" s="8">
        <v>350</v>
      </c>
      <c r="I49" s="3"/>
      <c r="J49" s="7">
        <f t="shared" si="1"/>
        <v>2.8935185185185184E-3</v>
      </c>
      <c r="K49" s="3"/>
      <c r="L49" s="8">
        <f t="shared" si="2"/>
        <v>-350</v>
      </c>
      <c r="M49" s="3"/>
      <c r="N49" s="7">
        <f t="shared" si="3"/>
        <v>-1</v>
      </c>
      <c r="O49" s="12"/>
      <c r="P49" s="8">
        <v>1053.75</v>
      </c>
      <c r="Q49" s="3"/>
      <c r="R49" s="7">
        <f t="shared" si="4"/>
        <v>8.2952074577658213E-4</v>
      </c>
      <c r="S49" s="3"/>
      <c r="T49" s="8">
        <v>2800</v>
      </c>
      <c r="U49" s="3"/>
      <c r="V49" s="7">
        <f t="shared" si="5"/>
        <v>4.2923718420407164E-3</v>
      </c>
      <c r="W49" s="3"/>
      <c r="X49" s="8">
        <f t="shared" si="6"/>
        <v>-1746.25</v>
      </c>
      <c r="Y49" s="3"/>
      <c r="Z49" s="7">
        <f t="shared" si="7"/>
        <v>-0.62366071428571423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10</v>
      </c>
      <c r="I50" s="2"/>
      <c r="J50" s="6">
        <f t="shared" si="1"/>
        <v>8.2671957671957667E-5</v>
      </c>
      <c r="K50" s="2"/>
      <c r="L50" s="2">
        <f t="shared" si="2"/>
        <v>-10</v>
      </c>
      <c r="M50" s="2"/>
      <c r="N50" s="6">
        <f t="shared" si="3"/>
        <v>-1</v>
      </c>
      <c r="O50" s="14"/>
      <c r="P50" s="2">
        <f>SUM(OSRRefP22_3x_0)</f>
        <v>8</v>
      </c>
      <c r="Q50" s="2"/>
      <c r="R50" s="6">
        <f t="shared" si="4"/>
        <v>6.2976663973548346E-6</v>
      </c>
      <c r="S50" s="2"/>
      <c r="T50" s="2">
        <f>SUM(OSRRefT22_3x_0)</f>
        <v>70</v>
      </c>
      <c r="U50" s="2"/>
      <c r="V50" s="6">
        <f t="shared" si="5"/>
        <v>1.073092960510179E-4</v>
      </c>
      <c r="W50" s="2"/>
      <c r="X50" s="2">
        <f t="shared" si="6"/>
        <v>-62</v>
      </c>
      <c r="Y50" s="2"/>
      <c r="Z50" s="6">
        <f t="shared" si="7"/>
        <v>-0.88571428571428568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8"/>
      <c r="E51" s="3"/>
      <c r="F51" s="7">
        <f t="shared" si="0"/>
        <v>0</v>
      </c>
      <c r="G51" s="3"/>
      <c r="H51" s="8">
        <v>10</v>
      </c>
      <c r="I51" s="3"/>
      <c r="J51" s="7">
        <f t="shared" si="1"/>
        <v>8.2671957671957667E-5</v>
      </c>
      <c r="K51" s="3"/>
      <c r="L51" s="8">
        <f t="shared" si="2"/>
        <v>-10</v>
      </c>
      <c r="M51" s="3"/>
      <c r="N51" s="7">
        <f t="shared" si="3"/>
        <v>-1</v>
      </c>
      <c r="O51" s="12"/>
      <c r="P51" s="8">
        <v>8</v>
      </c>
      <c r="Q51" s="3"/>
      <c r="R51" s="7">
        <f t="shared" si="4"/>
        <v>6.2976663973548346E-6</v>
      </c>
      <c r="S51" s="3"/>
      <c r="T51" s="8">
        <v>70</v>
      </c>
      <c r="U51" s="3"/>
      <c r="V51" s="7">
        <f t="shared" si="5"/>
        <v>1.073092960510179E-4</v>
      </c>
      <c r="W51" s="3"/>
      <c r="X51" s="8">
        <f t="shared" si="6"/>
        <v>-62</v>
      </c>
      <c r="Y51" s="3"/>
      <c r="Z51" s="7">
        <f t="shared" si="7"/>
        <v>-0.88571428571428568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72.959999999999994</v>
      </c>
      <c r="E52" s="2"/>
      <c r="F52" s="6">
        <f t="shared" si="0"/>
        <v>2.8528058906062331E-4</v>
      </c>
      <c r="G52" s="2"/>
      <c r="H52" s="2">
        <f>SUM(OSRRefH22_4x_0)</f>
        <v>25</v>
      </c>
      <c r="I52" s="2"/>
      <c r="J52" s="6">
        <f t="shared" si="1"/>
        <v>2.0667989417989417E-4</v>
      </c>
      <c r="K52" s="2"/>
      <c r="L52" s="2">
        <f t="shared" si="2"/>
        <v>47.959999999999994</v>
      </c>
      <c r="M52" s="2"/>
      <c r="N52" s="6">
        <f t="shared" si="3"/>
        <v>1.9183999999999997</v>
      </c>
      <c r="O52" s="14"/>
      <c r="P52" s="2">
        <f>SUM(OSRRefP22_4x_0)</f>
        <v>347.99</v>
      </c>
      <c r="Q52" s="2"/>
      <c r="R52" s="6">
        <f t="shared" si="4"/>
        <v>2.7394061620193862E-4</v>
      </c>
      <c r="S52" s="2"/>
      <c r="T52" s="2">
        <f>SUM(OSRRefT22_4x_0)</f>
        <v>175</v>
      </c>
      <c r="U52" s="2"/>
      <c r="V52" s="6">
        <f t="shared" si="5"/>
        <v>2.6827324012754477E-4</v>
      </c>
      <c r="W52" s="2"/>
      <c r="X52" s="2">
        <f t="shared" si="6"/>
        <v>172.99</v>
      </c>
      <c r="Y52" s="2"/>
      <c r="Z52" s="6">
        <f t="shared" si="7"/>
        <v>0.98851428571428579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8">
        <v>72.959999999999994</v>
      </c>
      <c r="E53" s="3"/>
      <c r="F53" s="7">
        <f t="shared" si="0"/>
        <v>2.8528058906062331E-4</v>
      </c>
      <c r="G53" s="3"/>
      <c r="H53" s="8">
        <v>25</v>
      </c>
      <c r="I53" s="3"/>
      <c r="J53" s="7">
        <f t="shared" si="1"/>
        <v>2.0667989417989417E-4</v>
      </c>
      <c r="K53" s="3"/>
      <c r="L53" s="8">
        <f t="shared" si="2"/>
        <v>47.959999999999994</v>
      </c>
      <c r="M53" s="3"/>
      <c r="N53" s="7">
        <f t="shared" si="3"/>
        <v>1.9183999999999997</v>
      </c>
      <c r="O53" s="12"/>
      <c r="P53" s="8">
        <v>347.99</v>
      </c>
      <c r="Q53" s="3"/>
      <c r="R53" s="7">
        <f t="shared" si="4"/>
        <v>2.7394061620193862E-4</v>
      </c>
      <c r="S53" s="3"/>
      <c r="T53" s="8">
        <v>175</v>
      </c>
      <c r="U53" s="3"/>
      <c r="V53" s="7">
        <f t="shared" si="5"/>
        <v>2.6827324012754477E-4</v>
      </c>
      <c r="W53" s="3"/>
      <c r="X53" s="8">
        <f t="shared" si="6"/>
        <v>172.99</v>
      </c>
      <c r="Y53" s="3"/>
      <c r="Z53" s="7">
        <f t="shared" si="7"/>
        <v>0.98851428571428579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213.02</v>
      </c>
      <c r="E54" s="2"/>
      <c r="F54" s="6">
        <f t="shared" si="0"/>
        <v>8.3292860583462154E-4</v>
      </c>
      <c r="G54" s="2"/>
      <c r="H54" s="2">
        <f>SUM(OSRRefH22_5x_0)</f>
        <v>213</v>
      </c>
      <c r="I54" s="2"/>
      <c r="J54" s="6">
        <f t="shared" si="1"/>
        <v>1.7609126984126984E-3</v>
      </c>
      <c r="K54" s="2"/>
      <c r="L54" s="2">
        <f t="shared" si="2"/>
        <v>2.0000000000010232E-2</v>
      </c>
      <c r="M54" s="2"/>
      <c r="N54" s="6">
        <f t="shared" si="3"/>
        <v>9.3896713615071505E-5</v>
      </c>
      <c r="O54" s="14"/>
      <c r="P54" s="2">
        <f>SUM(OSRRefP22_5x_0)</f>
        <v>1704.16</v>
      </c>
      <c r="Q54" s="2"/>
      <c r="R54" s="6">
        <f t="shared" si="4"/>
        <v>1.341528895964527E-3</v>
      </c>
      <c r="S54" s="2"/>
      <c r="T54" s="2">
        <f>SUM(OSRRefT22_5x_0)</f>
        <v>1704</v>
      </c>
      <c r="U54" s="2"/>
      <c r="V54" s="6">
        <f t="shared" si="5"/>
        <v>2.6122148638704932E-3</v>
      </c>
      <c r="W54" s="2"/>
      <c r="X54" s="2">
        <f t="shared" si="6"/>
        <v>0.16000000000008185</v>
      </c>
      <c r="Y54" s="2"/>
      <c r="Z54" s="6">
        <f t="shared" si="7"/>
        <v>9.3896713615071505E-5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213.02</v>
      </c>
      <c r="E55" s="3"/>
      <c r="F55" s="7">
        <f t="shared" si="0"/>
        <v>8.3292860583462154E-4</v>
      </c>
      <c r="G55" s="3"/>
      <c r="H55" s="8">
        <v>213</v>
      </c>
      <c r="I55" s="3"/>
      <c r="J55" s="7">
        <f t="shared" si="1"/>
        <v>1.7609126984126984E-3</v>
      </c>
      <c r="K55" s="3"/>
      <c r="L55" s="8">
        <f t="shared" si="2"/>
        <v>2.0000000000010232E-2</v>
      </c>
      <c r="M55" s="3"/>
      <c r="N55" s="7">
        <f t="shared" si="3"/>
        <v>9.3896713615071505E-5</v>
      </c>
      <c r="O55" s="12"/>
      <c r="P55" s="8">
        <v>1704.16</v>
      </c>
      <c r="Q55" s="3"/>
      <c r="R55" s="7">
        <f t="shared" si="4"/>
        <v>1.341528895964527E-3</v>
      </c>
      <c r="S55" s="3"/>
      <c r="T55" s="8">
        <v>1704</v>
      </c>
      <c r="U55" s="3"/>
      <c r="V55" s="7">
        <f t="shared" si="5"/>
        <v>2.6122148638704932E-3</v>
      </c>
      <c r="W55" s="3"/>
      <c r="X55" s="8">
        <f t="shared" si="6"/>
        <v>0.16000000000008185</v>
      </c>
      <c r="Y55" s="3"/>
      <c r="Z55" s="7">
        <f t="shared" si="7"/>
        <v>9.3896713615071505E-5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1437.97</v>
      </c>
      <c r="E56" s="2"/>
      <c r="F56" s="6">
        <f t="shared" si="0"/>
        <v>5.622600447526104E-3</v>
      </c>
      <c r="G56" s="2"/>
      <c r="H56" s="2">
        <f>SUM(OSRRefH22_6x_0)</f>
        <v>3000</v>
      </c>
      <c r="I56" s="2"/>
      <c r="J56" s="6">
        <f t="shared" si="1"/>
        <v>2.48015873015873E-2</v>
      </c>
      <c r="K56" s="2"/>
      <c r="L56" s="2">
        <f t="shared" si="2"/>
        <v>-1562.03</v>
      </c>
      <c r="M56" s="2"/>
      <c r="N56" s="6">
        <f t="shared" si="3"/>
        <v>-0.52067666666666668</v>
      </c>
      <c r="O56" s="14"/>
      <c r="P56" s="2">
        <f>SUM(OSRRefP22_6x_0)</f>
        <v>8165.6</v>
      </c>
      <c r="Q56" s="2"/>
      <c r="R56" s="6">
        <f t="shared" si="4"/>
        <v>6.4280280917800806E-3</v>
      </c>
      <c r="S56" s="2"/>
      <c r="T56" s="2">
        <f>SUM(OSRRefT22_6x_0)</f>
        <v>21000</v>
      </c>
      <c r="U56" s="2"/>
      <c r="V56" s="6">
        <f t="shared" si="5"/>
        <v>3.2192788815305372E-2</v>
      </c>
      <c r="W56" s="2"/>
      <c r="X56" s="2">
        <f t="shared" si="6"/>
        <v>-12834.4</v>
      </c>
      <c r="Y56" s="2"/>
      <c r="Z56" s="6">
        <f t="shared" si="7"/>
        <v>-0.6111619047619048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8">
        <v>1437.97</v>
      </c>
      <c r="E57" s="3"/>
      <c r="F57" s="7">
        <f t="shared" ref="F57:F88" si="8">IF(D$12=0,0,D57/D$12)</f>
        <v>5.622600447526104E-3</v>
      </c>
      <c r="G57" s="3"/>
      <c r="H57" s="8">
        <v>3000</v>
      </c>
      <c r="I57" s="3"/>
      <c r="J57" s="7">
        <f t="shared" ref="J57:J88" si="9">IF(H$12=0,0,H57/H$12)</f>
        <v>2.48015873015873E-2</v>
      </c>
      <c r="K57" s="3"/>
      <c r="L57" s="8">
        <f t="shared" ref="L57:L88" si="10">+D57-H57</f>
        <v>-1562.03</v>
      </c>
      <c r="M57" s="3"/>
      <c r="N57" s="7">
        <f t="shared" ref="N57:N88" si="11">IF(H57=0,0,L57/H57)</f>
        <v>-0.52067666666666668</v>
      </c>
      <c r="O57" s="12"/>
      <c r="P57" s="8">
        <v>8165.6</v>
      </c>
      <c r="Q57" s="3"/>
      <c r="R57" s="7">
        <f t="shared" ref="R57:R88" si="12">IF(P$12=0,0,P57/P$12)</f>
        <v>6.4280280917800806E-3</v>
      </c>
      <c r="S57" s="3"/>
      <c r="T57" s="8">
        <v>21000</v>
      </c>
      <c r="U57" s="3"/>
      <c r="V57" s="7">
        <f t="shared" ref="V57:V88" si="13">IF(T$12=0,0,T57/T$12)</f>
        <v>3.2192788815305372E-2</v>
      </c>
      <c r="W57" s="3"/>
      <c r="X57" s="8">
        <f t="shared" ref="X57:X88" si="14">+P57-T57</f>
        <v>-12834.4</v>
      </c>
      <c r="Y57" s="3"/>
      <c r="Z57" s="7">
        <f t="shared" ref="Z57:Z88" si="15">IF(T57=0,0,X57/T57)</f>
        <v>-0.6111619047619048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50</v>
      </c>
      <c r="I58" s="2"/>
      <c r="J58" s="6">
        <f t="shared" si="9"/>
        <v>4.1335978835978834E-4</v>
      </c>
      <c r="K58" s="2"/>
      <c r="L58" s="2">
        <f t="shared" si="10"/>
        <v>-50</v>
      </c>
      <c r="M58" s="2"/>
      <c r="N58" s="6">
        <f t="shared" si="11"/>
        <v>-1</v>
      </c>
      <c r="O58" s="14"/>
      <c r="P58" s="2">
        <f>SUM(OSRRefP22_7x_0)</f>
        <v>90.47</v>
      </c>
      <c r="Q58" s="2"/>
      <c r="R58" s="6">
        <f t="shared" si="12"/>
        <v>7.121873487108649E-5</v>
      </c>
      <c r="S58" s="2"/>
      <c r="T58" s="2">
        <f>SUM(OSRRefT22_7x_0)</f>
        <v>400</v>
      </c>
      <c r="U58" s="2"/>
      <c r="V58" s="6">
        <f t="shared" si="13"/>
        <v>6.1319597743438807E-4</v>
      </c>
      <c r="W58" s="2"/>
      <c r="X58" s="2">
        <f t="shared" si="14"/>
        <v>-309.52999999999997</v>
      </c>
      <c r="Y58" s="2"/>
      <c r="Z58" s="6">
        <f t="shared" si="15"/>
        <v>-0.77382499999999999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8"/>
      <c r="E59" s="3"/>
      <c r="F59" s="7">
        <f t="shared" si="8"/>
        <v>0</v>
      </c>
      <c r="G59" s="3"/>
      <c r="H59" s="8">
        <v>50</v>
      </c>
      <c r="I59" s="3"/>
      <c r="J59" s="7">
        <f t="shared" si="9"/>
        <v>4.1335978835978834E-4</v>
      </c>
      <c r="K59" s="3"/>
      <c r="L59" s="8">
        <f t="shared" si="10"/>
        <v>-50</v>
      </c>
      <c r="M59" s="3"/>
      <c r="N59" s="7">
        <f t="shared" si="11"/>
        <v>-1</v>
      </c>
      <c r="O59" s="12"/>
      <c r="P59" s="8">
        <v>90.47</v>
      </c>
      <c r="Q59" s="3"/>
      <c r="R59" s="7">
        <f t="shared" si="12"/>
        <v>7.121873487108649E-5</v>
      </c>
      <c r="S59" s="3"/>
      <c r="T59" s="8">
        <v>400</v>
      </c>
      <c r="U59" s="3"/>
      <c r="V59" s="7">
        <f t="shared" si="13"/>
        <v>6.1319597743438807E-4</v>
      </c>
      <c r="W59" s="3"/>
      <c r="X59" s="8">
        <f t="shared" si="14"/>
        <v>-309.52999999999997</v>
      </c>
      <c r="Y59" s="3"/>
      <c r="Z59" s="7">
        <f t="shared" si="15"/>
        <v>-0.77382499999999999</v>
      </c>
    </row>
    <row r="60" spans="1:26" s="69" customFormat="1" ht="15" customHeight="1" outlineLevel="1" collapsed="1" x14ac:dyDescent="0.3">
      <c r="A60" s="25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SUM(OSRRefD22_8x_0)</f>
        <v>77.63</v>
      </c>
      <c r="E60" s="2"/>
      <c r="F60" s="6">
        <f t="shared" si="8"/>
        <v>3.0354073641414731E-4</v>
      </c>
      <c r="G60" s="2"/>
      <c r="H60" s="2">
        <f>SUM(OSRRefH22_8x_0)</f>
        <v>0</v>
      </c>
      <c r="I60" s="2"/>
      <c r="J60" s="6">
        <f t="shared" si="9"/>
        <v>0</v>
      </c>
      <c r="K60" s="2"/>
      <c r="L60" s="2">
        <f t="shared" si="10"/>
        <v>77.63</v>
      </c>
      <c r="M60" s="2"/>
      <c r="N60" s="6">
        <f t="shared" si="11"/>
        <v>0</v>
      </c>
      <c r="O60" s="14"/>
      <c r="P60" s="2">
        <f>SUM(OSRRefP22_8x_0)</f>
        <v>1844.79</v>
      </c>
      <c r="Q60" s="2"/>
      <c r="R60" s="6">
        <f t="shared" si="12"/>
        <v>1.4522339991470282E-3</v>
      </c>
      <c r="S60" s="2"/>
      <c r="T60" s="2">
        <f>SUM(OSRRefT22_8x_0)</f>
        <v>1700</v>
      </c>
      <c r="U60" s="2"/>
      <c r="V60" s="6">
        <f t="shared" si="13"/>
        <v>2.6060829040961491E-3</v>
      </c>
      <c r="W60" s="2"/>
      <c r="X60" s="2">
        <f t="shared" si="14"/>
        <v>144.78999999999996</v>
      </c>
      <c r="Y60" s="2"/>
      <c r="Z60" s="6">
        <f t="shared" si="15"/>
        <v>8.5170588235294095E-2</v>
      </c>
    </row>
    <row r="61" spans="1:26" s="70" customFormat="1" ht="15" hidden="1" customHeight="1" outlineLevel="2" x14ac:dyDescent="0.3">
      <c r="A61" s="26"/>
      <c r="B61" s="12" t="str">
        <f>CONCATENATE("          ","6279"," - ","GENERAL EXPENSE")</f>
        <v xml:space="preserve">          6279 - GENERAL EXPENSE</v>
      </c>
      <c r="C61" s="12"/>
      <c r="D61" s="8">
        <v>77.63</v>
      </c>
      <c r="E61" s="3"/>
      <c r="F61" s="7">
        <f t="shared" si="8"/>
        <v>3.0354073641414731E-4</v>
      </c>
      <c r="G61" s="3"/>
      <c r="H61" s="8"/>
      <c r="I61" s="3"/>
      <c r="J61" s="7">
        <f t="shared" si="9"/>
        <v>0</v>
      </c>
      <c r="K61" s="3"/>
      <c r="L61" s="8">
        <f t="shared" si="10"/>
        <v>77.63</v>
      </c>
      <c r="M61" s="3"/>
      <c r="N61" s="7">
        <f t="shared" si="11"/>
        <v>0</v>
      </c>
      <c r="O61" s="12"/>
      <c r="P61" s="8">
        <v>1844.79</v>
      </c>
      <c r="Q61" s="3"/>
      <c r="R61" s="7">
        <f t="shared" si="12"/>
        <v>1.4522339991470282E-3</v>
      </c>
      <c r="S61" s="3"/>
      <c r="T61" s="8">
        <v>1700</v>
      </c>
      <c r="U61" s="3"/>
      <c r="V61" s="7">
        <f t="shared" si="13"/>
        <v>2.6060829040961491E-3</v>
      </c>
      <c r="W61" s="3"/>
      <c r="X61" s="8">
        <f t="shared" si="14"/>
        <v>144.78999999999996</v>
      </c>
      <c r="Y61" s="3"/>
      <c r="Z61" s="7">
        <f t="shared" si="15"/>
        <v>8.5170588235294095E-2</v>
      </c>
    </row>
    <row r="62" spans="1:26" s="69" customFormat="1" ht="15" customHeight="1" outlineLevel="1" collapsed="1" x14ac:dyDescent="0.3">
      <c r="A62" s="25"/>
      <c r="B62" s="14" t="str">
        <f>CONCATENATE("     ","Insurance                                         ")</f>
        <v xml:space="preserve">     Insurance                                         </v>
      </c>
      <c r="C62" s="14"/>
      <c r="D62" s="2">
        <f>SUM(OSRRefD22_9x_0)</f>
        <v>5.21</v>
      </c>
      <c r="E62" s="2"/>
      <c r="F62" s="6">
        <f t="shared" si="8"/>
        <v>2.0371599081768746E-5</v>
      </c>
      <c r="G62" s="2"/>
      <c r="H62" s="2">
        <f>SUM(OSRRefH22_9x_0)</f>
        <v>10</v>
      </c>
      <c r="I62" s="2"/>
      <c r="J62" s="6">
        <f t="shared" si="9"/>
        <v>8.2671957671957667E-5</v>
      </c>
      <c r="K62" s="2"/>
      <c r="L62" s="2">
        <f t="shared" si="10"/>
        <v>-4.79</v>
      </c>
      <c r="M62" s="2"/>
      <c r="N62" s="6">
        <f t="shared" si="11"/>
        <v>-0.47899999999999998</v>
      </c>
      <c r="O62" s="14"/>
      <c r="P62" s="2">
        <f>SUM(OSRRefP22_9x_0)</f>
        <v>41.69</v>
      </c>
      <c r="Q62" s="2"/>
      <c r="R62" s="6">
        <f t="shared" si="12"/>
        <v>3.2818714013215384E-5</v>
      </c>
      <c r="S62" s="2"/>
      <c r="T62" s="2">
        <f>SUM(OSRRefT22_9x_0)</f>
        <v>80</v>
      </c>
      <c r="U62" s="2"/>
      <c r="V62" s="6">
        <f t="shared" si="13"/>
        <v>1.226391954868776E-4</v>
      </c>
      <c r="W62" s="2"/>
      <c r="X62" s="2">
        <f t="shared" si="14"/>
        <v>-38.31</v>
      </c>
      <c r="Y62" s="2"/>
      <c r="Z62" s="6">
        <f t="shared" si="15"/>
        <v>-0.47887500000000005</v>
      </c>
    </row>
    <row r="63" spans="1:26" s="70" customFormat="1" ht="15" hidden="1" customHeight="1" outlineLevel="2" x14ac:dyDescent="0.3">
      <c r="A63" s="26"/>
      <c r="B63" s="12" t="str">
        <f>CONCATENATE("          ","6314"," - ","LIABILITY INSURANCE")</f>
        <v xml:space="preserve">          6314 - LIABILITY INSURANCE</v>
      </c>
      <c r="C63" s="12"/>
      <c r="D63" s="8">
        <v>5.21</v>
      </c>
      <c r="E63" s="3"/>
      <c r="F63" s="7">
        <f t="shared" si="8"/>
        <v>2.0371599081768746E-5</v>
      </c>
      <c r="G63" s="3"/>
      <c r="H63" s="8">
        <v>10</v>
      </c>
      <c r="I63" s="3"/>
      <c r="J63" s="7">
        <f t="shared" si="9"/>
        <v>8.2671957671957667E-5</v>
      </c>
      <c r="K63" s="3"/>
      <c r="L63" s="8">
        <f t="shared" si="10"/>
        <v>-4.79</v>
      </c>
      <c r="M63" s="3"/>
      <c r="N63" s="7">
        <f t="shared" si="11"/>
        <v>-0.47899999999999998</v>
      </c>
      <c r="O63" s="12"/>
      <c r="P63" s="8">
        <v>41.69</v>
      </c>
      <c r="Q63" s="3"/>
      <c r="R63" s="7">
        <f t="shared" si="12"/>
        <v>3.2818714013215384E-5</v>
      </c>
      <c r="S63" s="3"/>
      <c r="T63" s="8">
        <v>80</v>
      </c>
      <c r="U63" s="3"/>
      <c r="V63" s="7">
        <f t="shared" si="13"/>
        <v>1.226391954868776E-4</v>
      </c>
      <c r="W63" s="3"/>
      <c r="X63" s="8">
        <f t="shared" si="14"/>
        <v>-38.31</v>
      </c>
      <c r="Y63" s="3"/>
      <c r="Z63" s="7">
        <f t="shared" si="15"/>
        <v>-0.47887500000000005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20286.37</v>
      </c>
      <c r="E64" s="2"/>
      <c r="F64" s="6">
        <f t="shared" si="8"/>
        <v>7.9321649993171012E-2</v>
      </c>
      <c r="G64" s="2"/>
      <c r="H64" s="2">
        <f>SUM(OSRRefH22_10x_0)</f>
        <v>9677</v>
      </c>
      <c r="I64" s="2"/>
      <c r="J64" s="6">
        <f t="shared" si="9"/>
        <v>8.0001653439153442E-2</v>
      </c>
      <c r="K64" s="2"/>
      <c r="L64" s="2">
        <f t="shared" si="10"/>
        <v>10609.369999999999</v>
      </c>
      <c r="M64" s="2"/>
      <c r="N64" s="6">
        <f t="shared" si="11"/>
        <v>1.0963490751265887</v>
      </c>
      <c r="O64" s="14"/>
      <c r="P64" s="2">
        <f>SUM(OSRRefP22_10x_0)</f>
        <v>97251.65</v>
      </c>
      <c r="Q64" s="2"/>
      <c r="R64" s="6">
        <f t="shared" si="12"/>
        <v>7.6557306036539166E-2</v>
      </c>
      <c r="S64" s="2"/>
      <c r="T64" s="2">
        <f>SUM(OSRRefT22_10x_0)</f>
        <v>52186</v>
      </c>
      <c r="U64" s="2"/>
      <c r="V64" s="6">
        <f t="shared" si="13"/>
        <v>8.0000613195977441E-2</v>
      </c>
      <c r="W64" s="2"/>
      <c r="X64" s="2">
        <f t="shared" si="14"/>
        <v>45065.649999999994</v>
      </c>
      <c r="Y64" s="2"/>
      <c r="Z64" s="6">
        <f t="shared" si="15"/>
        <v>0.86355823400912113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8">
        <v>20286.37</v>
      </c>
      <c r="E65" s="3"/>
      <c r="F65" s="7">
        <f t="shared" si="8"/>
        <v>7.9321649993171012E-2</v>
      </c>
      <c r="G65" s="3"/>
      <c r="H65" s="8">
        <v>9677</v>
      </c>
      <c r="I65" s="3"/>
      <c r="J65" s="7">
        <f t="shared" si="9"/>
        <v>8.0001653439153442E-2</v>
      </c>
      <c r="K65" s="3"/>
      <c r="L65" s="8">
        <f t="shared" si="10"/>
        <v>10609.369999999999</v>
      </c>
      <c r="M65" s="3"/>
      <c r="N65" s="7">
        <f t="shared" si="11"/>
        <v>1.0963490751265887</v>
      </c>
      <c r="O65" s="12"/>
      <c r="P65" s="8">
        <v>97251.65</v>
      </c>
      <c r="Q65" s="3"/>
      <c r="R65" s="7">
        <f t="shared" si="12"/>
        <v>7.6557306036539166E-2</v>
      </c>
      <c r="S65" s="3"/>
      <c r="T65" s="8">
        <v>52186</v>
      </c>
      <c r="U65" s="3"/>
      <c r="V65" s="7">
        <f t="shared" si="13"/>
        <v>8.0000613195977441E-2</v>
      </c>
      <c r="W65" s="3"/>
      <c r="X65" s="8">
        <f t="shared" si="14"/>
        <v>45065.649999999994</v>
      </c>
      <c r="Y65" s="3"/>
      <c r="Z65" s="7">
        <f t="shared" si="15"/>
        <v>0.86355823400912113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299.05</v>
      </c>
      <c r="E66" s="2"/>
      <c r="F66" s="6">
        <f t="shared" si="8"/>
        <v>1.1693141469103537E-3</v>
      </c>
      <c r="G66" s="2"/>
      <c r="H66" s="2">
        <f>SUM(OSRRefH22_11x_0)</f>
        <v>100</v>
      </c>
      <c r="I66" s="2"/>
      <c r="J66" s="6">
        <f t="shared" si="9"/>
        <v>8.2671957671957667E-4</v>
      </c>
      <c r="K66" s="2"/>
      <c r="L66" s="2">
        <f t="shared" si="10"/>
        <v>199.05</v>
      </c>
      <c r="M66" s="2"/>
      <c r="N66" s="6">
        <f t="shared" si="11"/>
        <v>1.9905000000000002</v>
      </c>
      <c r="O66" s="14"/>
      <c r="P66" s="2">
        <f>SUM(OSRRefP22_11x_0)</f>
        <v>1135.81</v>
      </c>
      <c r="Q66" s="2"/>
      <c r="R66" s="6">
        <f t="shared" si="12"/>
        <v>8.9411905884744934E-4</v>
      </c>
      <c r="S66" s="2"/>
      <c r="T66" s="2">
        <f>SUM(OSRRefT22_11x_0)</f>
        <v>3800</v>
      </c>
      <c r="U66" s="2"/>
      <c r="V66" s="6">
        <f t="shared" si="13"/>
        <v>5.8253617856266864E-3</v>
      </c>
      <c r="W66" s="2"/>
      <c r="X66" s="2">
        <f t="shared" si="14"/>
        <v>-2664.19</v>
      </c>
      <c r="Y66" s="2"/>
      <c r="Z66" s="6">
        <f t="shared" si="15"/>
        <v>-0.70110263157894737</v>
      </c>
    </row>
    <row r="67" spans="1:26" s="70" customFormat="1" ht="15" hidden="1" customHeight="1" outlineLevel="2" x14ac:dyDescent="0.3">
      <c r="A67" s="26"/>
      <c r="B67" s="12" t="str">
        <f>CONCATENATE("          ","6371"," - ","COMPUTER SOFTWARE MAINTENANCE")</f>
        <v xml:space="preserve">          6371 - COMPUTER SOFTWARE MAINTENANCE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/>
      <c r="Q67" s="3"/>
      <c r="R67" s="7">
        <f t="shared" si="12"/>
        <v>0</v>
      </c>
      <c r="S67" s="3"/>
      <c r="T67" s="8">
        <v>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146.76</v>
      </c>
      <c r="Q68" s="3"/>
      <c r="R68" s="7">
        <f t="shared" si="12"/>
        <v>1.1553069005947445E-4</v>
      </c>
      <c r="S68" s="3"/>
      <c r="T68" s="8">
        <v>3000</v>
      </c>
      <c r="U68" s="3"/>
      <c r="V68" s="7">
        <f t="shared" si="13"/>
        <v>4.59896983075791E-3</v>
      </c>
      <c r="W68" s="3"/>
      <c r="X68" s="8">
        <f t="shared" si="14"/>
        <v>-2853.24</v>
      </c>
      <c r="Y68" s="3"/>
      <c r="Z68" s="7">
        <f t="shared" si="15"/>
        <v>-0.95107999999999993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8">
        <v>299.05</v>
      </c>
      <c r="E69" s="3"/>
      <c r="F69" s="7">
        <f t="shared" si="8"/>
        <v>1.1693141469103537E-3</v>
      </c>
      <c r="G69" s="3"/>
      <c r="H69" s="8">
        <v>100</v>
      </c>
      <c r="I69" s="3"/>
      <c r="J69" s="7">
        <f t="shared" si="9"/>
        <v>8.2671957671957667E-4</v>
      </c>
      <c r="K69" s="3"/>
      <c r="L69" s="8">
        <f t="shared" si="10"/>
        <v>199.05</v>
      </c>
      <c r="M69" s="3"/>
      <c r="N69" s="7">
        <f t="shared" si="11"/>
        <v>1.9905000000000002</v>
      </c>
      <c r="O69" s="12"/>
      <c r="P69" s="8">
        <v>989.05</v>
      </c>
      <c r="Q69" s="3"/>
      <c r="R69" s="7">
        <f t="shared" si="12"/>
        <v>7.7858836878797486E-4</v>
      </c>
      <c r="S69" s="3"/>
      <c r="T69" s="8">
        <v>800</v>
      </c>
      <c r="U69" s="3"/>
      <c r="V69" s="7">
        <f t="shared" si="13"/>
        <v>1.2263919548687761E-3</v>
      </c>
      <c r="W69" s="3"/>
      <c r="X69" s="8">
        <f t="shared" si="14"/>
        <v>189.04999999999995</v>
      </c>
      <c r="Y69" s="3"/>
      <c r="Z69" s="7">
        <f t="shared" si="15"/>
        <v>0.23631249999999995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6274.62</v>
      </c>
      <c r="E70" s="2"/>
      <c r="F70" s="6">
        <f t="shared" si="8"/>
        <v>2.4534365264961191E-2</v>
      </c>
      <c r="G70" s="2"/>
      <c r="H70" s="2">
        <f>SUM(OSRRefH22_12x_0)</f>
        <v>7224</v>
      </c>
      <c r="I70" s="2"/>
      <c r="J70" s="6">
        <f t="shared" si="9"/>
        <v>5.9722222222222225E-2</v>
      </c>
      <c r="K70" s="2"/>
      <c r="L70" s="2">
        <f t="shared" si="10"/>
        <v>-949.38000000000011</v>
      </c>
      <c r="M70" s="2"/>
      <c r="N70" s="6">
        <f t="shared" si="11"/>
        <v>-0.1314202657807309</v>
      </c>
      <c r="O70" s="14"/>
      <c r="P70" s="2">
        <f>SUM(OSRRefP22_12x_0)</f>
        <v>37679.899999999994</v>
      </c>
      <c r="Q70" s="2"/>
      <c r="R70" s="6">
        <f t="shared" si="12"/>
        <v>2.9661930010711303E-2</v>
      </c>
      <c r="S70" s="2"/>
      <c r="T70" s="2">
        <f>SUM(OSRRefT22_12x_0)</f>
        <v>54680</v>
      </c>
      <c r="U70" s="2"/>
      <c r="V70" s="6">
        <f t="shared" si="13"/>
        <v>8.3823890115280839E-2</v>
      </c>
      <c r="W70" s="2"/>
      <c r="X70" s="2">
        <f t="shared" si="14"/>
        <v>-17000.100000000006</v>
      </c>
      <c r="Y70" s="2"/>
      <c r="Z70" s="6">
        <f t="shared" si="15"/>
        <v>-0.31090160936356998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8">
        <v>1459.7</v>
      </c>
      <c r="E71" s="3"/>
      <c r="F71" s="7">
        <f t="shared" si="8"/>
        <v>5.7075668291089897E-3</v>
      </c>
      <c r="G71" s="3"/>
      <c r="H71" s="8">
        <v>670</v>
      </c>
      <c r="I71" s="3"/>
      <c r="J71" s="7">
        <f t="shared" si="9"/>
        <v>5.5390211640211637E-3</v>
      </c>
      <c r="K71" s="3"/>
      <c r="L71" s="8">
        <f t="shared" si="10"/>
        <v>789.7</v>
      </c>
      <c r="M71" s="3"/>
      <c r="N71" s="7">
        <f t="shared" si="11"/>
        <v>1.1786567164179105</v>
      </c>
      <c r="O71" s="12"/>
      <c r="P71" s="8">
        <v>5148.3500000000004</v>
      </c>
      <c r="Q71" s="3"/>
      <c r="R71" s="7">
        <f t="shared" si="12"/>
        <v>4.0528238496027212E-3</v>
      </c>
      <c r="S71" s="3"/>
      <c r="T71" s="8">
        <v>5360</v>
      </c>
      <c r="U71" s="3"/>
      <c r="V71" s="7">
        <f t="shared" si="13"/>
        <v>8.2168260976208003E-3</v>
      </c>
      <c r="W71" s="3"/>
      <c r="X71" s="8">
        <f t="shared" si="14"/>
        <v>-211.64999999999964</v>
      </c>
      <c r="Y71" s="3"/>
      <c r="Z71" s="7">
        <f t="shared" si="15"/>
        <v>-3.9486940298507398E-2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8"/>
      <c r="E72" s="3"/>
      <c r="F72" s="7">
        <f t="shared" si="8"/>
        <v>0</v>
      </c>
      <c r="G72" s="3"/>
      <c r="H72" s="8">
        <v>50</v>
      </c>
      <c r="I72" s="3"/>
      <c r="J72" s="7">
        <f t="shared" si="9"/>
        <v>4.1335978835978834E-4</v>
      </c>
      <c r="K72" s="3"/>
      <c r="L72" s="8">
        <f t="shared" si="10"/>
        <v>-50</v>
      </c>
      <c r="M72" s="3"/>
      <c r="N72" s="7">
        <f t="shared" si="11"/>
        <v>-1</v>
      </c>
      <c r="O72" s="12"/>
      <c r="P72" s="8"/>
      <c r="Q72" s="3"/>
      <c r="R72" s="7">
        <f t="shared" si="12"/>
        <v>0</v>
      </c>
      <c r="S72" s="3"/>
      <c r="T72" s="8">
        <v>400</v>
      </c>
      <c r="U72" s="3"/>
      <c r="V72" s="7">
        <f t="shared" si="13"/>
        <v>6.1319597743438807E-4</v>
      </c>
      <c r="W72" s="3"/>
      <c r="X72" s="8">
        <f t="shared" si="14"/>
        <v>-400</v>
      </c>
      <c r="Y72" s="3"/>
      <c r="Z72" s="7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8">
        <v>4364.3100000000004</v>
      </c>
      <c r="E73" s="3"/>
      <c r="F73" s="7">
        <f t="shared" si="8"/>
        <v>1.7064870170547822E-2</v>
      </c>
      <c r="G73" s="3"/>
      <c r="H73" s="8">
        <v>4904</v>
      </c>
      <c r="I73" s="3"/>
      <c r="J73" s="7">
        <f t="shared" si="9"/>
        <v>4.0542328042328039E-2</v>
      </c>
      <c r="K73" s="3"/>
      <c r="L73" s="8">
        <f t="shared" si="10"/>
        <v>-539.6899999999996</v>
      </c>
      <c r="M73" s="3"/>
      <c r="N73" s="7">
        <f t="shared" si="11"/>
        <v>-0.11005097879282211</v>
      </c>
      <c r="O73" s="12"/>
      <c r="P73" s="8">
        <v>25277.1</v>
      </c>
      <c r="Q73" s="3"/>
      <c r="R73" s="7">
        <f t="shared" si="12"/>
        <v>1.9898342911572237E-2</v>
      </c>
      <c r="S73" s="3"/>
      <c r="T73" s="8">
        <v>37720</v>
      </c>
      <c r="U73" s="3"/>
      <c r="V73" s="7">
        <f t="shared" si="13"/>
        <v>5.7824380672062789E-2</v>
      </c>
      <c r="W73" s="3"/>
      <c r="X73" s="8">
        <f t="shared" si="14"/>
        <v>-12442.900000000001</v>
      </c>
      <c r="Y73" s="3"/>
      <c r="Z73" s="7">
        <f t="shared" si="15"/>
        <v>-0.32987539766702018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8">
        <v>450.61</v>
      </c>
      <c r="E74" s="3"/>
      <c r="F74" s="7">
        <f t="shared" si="8"/>
        <v>1.761928265304379E-3</v>
      </c>
      <c r="G74" s="3"/>
      <c r="H74" s="8">
        <v>1600</v>
      </c>
      <c r="I74" s="3"/>
      <c r="J74" s="7">
        <f t="shared" si="9"/>
        <v>1.3227513227513227E-2</v>
      </c>
      <c r="K74" s="3"/>
      <c r="L74" s="8">
        <f t="shared" si="10"/>
        <v>-1149.3899999999999</v>
      </c>
      <c r="M74" s="3"/>
      <c r="N74" s="7">
        <f t="shared" si="11"/>
        <v>-0.71836874999999989</v>
      </c>
      <c r="O74" s="12"/>
      <c r="P74" s="8">
        <v>7254.45</v>
      </c>
      <c r="Q74" s="3"/>
      <c r="R74" s="7">
        <f t="shared" si="12"/>
        <v>5.710763249536348E-3</v>
      </c>
      <c r="S74" s="3"/>
      <c r="T74" s="8">
        <v>11200</v>
      </c>
      <c r="U74" s="3"/>
      <c r="V74" s="7">
        <f t="shared" si="13"/>
        <v>1.7169487368162865E-2</v>
      </c>
      <c r="W74" s="3"/>
      <c r="X74" s="8">
        <f t="shared" si="14"/>
        <v>-3945.55</v>
      </c>
      <c r="Y74" s="3"/>
      <c r="Z74" s="7">
        <f t="shared" si="15"/>
        <v>-0.35228124999999999</v>
      </c>
    </row>
    <row r="75" spans="1:26" s="69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9001.59</v>
      </c>
      <c r="E75" s="2"/>
      <c r="F75" s="6">
        <f t="shared" si="8"/>
        <v>3.5197079189723361E-2</v>
      </c>
      <c r="G75" s="2"/>
      <c r="H75" s="2">
        <f>SUM(OSRRefH22_13x_0)</f>
        <v>4696</v>
      </c>
      <c r="I75" s="2"/>
      <c r="J75" s="6">
        <f t="shared" si="9"/>
        <v>3.8822751322751321E-2</v>
      </c>
      <c r="K75" s="2"/>
      <c r="L75" s="2">
        <f t="shared" si="10"/>
        <v>4305.59</v>
      </c>
      <c r="M75" s="2"/>
      <c r="N75" s="6">
        <f t="shared" si="11"/>
        <v>0.9168632879045997</v>
      </c>
      <c r="O75" s="14"/>
      <c r="P75" s="2">
        <f>SUM(OSRRefP22_13x_0)</f>
        <v>69406.499999999985</v>
      </c>
      <c r="Q75" s="2"/>
      <c r="R75" s="6">
        <f t="shared" si="12"/>
        <v>5.463737285100103E-2</v>
      </c>
      <c r="S75" s="2"/>
      <c r="T75" s="2">
        <f>SUM(OSRRefT22_13x_0)</f>
        <v>45668</v>
      </c>
      <c r="U75" s="2"/>
      <c r="V75" s="6">
        <f t="shared" si="13"/>
        <v>7.0008584743684085E-2</v>
      </c>
      <c r="W75" s="2"/>
      <c r="X75" s="2">
        <f t="shared" si="14"/>
        <v>23738.499999999985</v>
      </c>
      <c r="Y75" s="2"/>
      <c r="Z75" s="6">
        <f t="shared" si="15"/>
        <v>0.51980599106595393</v>
      </c>
    </row>
    <row r="76" spans="1:26" s="70" customFormat="1" ht="15" hidden="1" customHeight="1" outlineLevel="2" x14ac:dyDescent="0.3">
      <c r="A76" s="26"/>
      <c r="B76" s="12" t="str">
        <f>CONCATENATE("          ","6237"," - ","JANITORIAL SUPPLIES")</f>
        <v xml:space="preserve">          6237 - JANITORIAL SUPPLIES</v>
      </c>
      <c r="C76" s="12"/>
      <c r="D76" s="8">
        <v>5914.27</v>
      </c>
      <c r="E76" s="3"/>
      <c r="F76" s="7">
        <f t="shared" si="8"/>
        <v>2.3125362245937128E-2</v>
      </c>
      <c r="G76" s="3"/>
      <c r="H76" s="8">
        <v>2000</v>
      </c>
      <c r="I76" s="3"/>
      <c r="J76" s="7">
        <f t="shared" si="9"/>
        <v>1.6534391534391533E-2</v>
      </c>
      <c r="K76" s="3"/>
      <c r="L76" s="8">
        <f t="shared" si="10"/>
        <v>3914.2700000000004</v>
      </c>
      <c r="M76" s="3"/>
      <c r="N76" s="7">
        <f t="shared" si="11"/>
        <v>1.9571350000000003</v>
      </c>
      <c r="O76" s="12"/>
      <c r="P76" s="8">
        <v>14737.15</v>
      </c>
      <c r="Q76" s="3"/>
      <c r="R76" s="7">
        <f t="shared" si="12"/>
        <v>1.1601206793472225E-2</v>
      </c>
      <c r="S76" s="3"/>
      <c r="T76" s="8">
        <v>19000</v>
      </c>
      <c r="U76" s="3"/>
      <c r="V76" s="7">
        <f t="shared" si="13"/>
        <v>2.9126808928133432E-2</v>
      </c>
      <c r="W76" s="3"/>
      <c r="X76" s="8">
        <f t="shared" si="14"/>
        <v>-4262.8500000000004</v>
      </c>
      <c r="Y76" s="3"/>
      <c r="Z76" s="7">
        <f t="shared" si="15"/>
        <v>-0.22436052631578948</v>
      </c>
    </row>
    <row r="77" spans="1:26" s="70" customFormat="1" ht="15" hidden="1" customHeight="1" outlineLevel="2" x14ac:dyDescent="0.3">
      <c r="A77" s="26"/>
      <c r="B77" s="12" t="str">
        <f>CONCATENATE("          ","6239"," - ","KITCHEN SUPPLIES")</f>
        <v xml:space="preserve">          6239 - KITCHEN SUPPLIES</v>
      </c>
      <c r="C77" s="12"/>
      <c r="D77" s="8">
        <v>923.13</v>
      </c>
      <c r="E77" s="3"/>
      <c r="F77" s="7">
        <f t="shared" si="8"/>
        <v>3.6095267294343918E-3</v>
      </c>
      <c r="G77" s="3"/>
      <c r="H77" s="8">
        <v>250</v>
      </c>
      <c r="I77" s="3"/>
      <c r="J77" s="7">
        <f t="shared" si="9"/>
        <v>2.0667989417989417E-3</v>
      </c>
      <c r="K77" s="3"/>
      <c r="L77" s="8">
        <f t="shared" si="10"/>
        <v>673.13</v>
      </c>
      <c r="M77" s="3"/>
      <c r="N77" s="7">
        <f t="shared" si="11"/>
        <v>2.69252</v>
      </c>
      <c r="O77" s="12"/>
      <c r="P77" s="8">
        <v>10019.879999999999</v>
      </c>
      <c r="Q77" s="3"/>
      <c r="R77" s="7">
        <f t="shared" si="12"/>
        <v>7.8877326976909707E-3</v>
      </c>
      <c r="S77" s="3"/>
      <c r="T77" s="8">
        <v>9100</v>
      </c>
      <c r="U77" s="3"/>
      <c r="V77" s="7">
        <f t="shared" si="13"/>
        <v>1.3950208486632327E-2</v>
      </c>
      <c r="W77" s="3"/>
      <c r="X77" s="8">
        <f t="shared" si="14"/>
        <v>919.8799999999992</v>
      </c>
      <c r="Y77" s="3"/>
      <c r="Z77" s="7">
        <f t="shared" si="15"/>
        <v>0.1010857142857142</v>
      </c>
    </row>
    <row r="78" spans="1:26" s="70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8">
        <v>1250.92</v>
      </c>
      <c r="E78" s="3"/>
      <c r="F78" s="7">
        <f t="shared" si="8"/>
        <v>4.8912170294368833E-3</v>
      </c>
      <c r="G78" s="3"/>
      <c r="H78" s="8">
        <v>125</v>
      </c>
      <c r="I78" s="3"/>
      <c r="J78" s="7">
        <f t="shared" si="9"/>
        <v>1.0333994708994708E-3</v>
      </c>
      <c r="K78" s="3"/>
      <c r="L78" s="8">
        <f t="shared" si="10"/>
        <v>1125.92</v>
      </c>
      <c r="M78" s="3"/>
      <c r="N78" s="7">
        <f t="shared" si="11"/>
        <v>9.0073600000000003</v>
      </c>
      <c r="O78" s="12"/>
      <c r="P78" s="8">
        <v>6184.64</v>
      </c>
      <c r="Q78" s="3"/>
      <c r="R78" s="7">
        <f t="shared" si="12"/>
        <v>4.8685999384670761E-3</v>
      </c>
      <c r="S78" s="3"/>
      <c r="T78" s="8">
        <v>1000</v>
      </c>
      <c r="U78" s="3"/>
      <c r="V78" s="7">
        <f t="shared" si="13"/>
        <v>1.53298994358597E-3</v>
      </c>
      <c r="W78" s="3"/>
      <c r="X78" s="8">
        <f t="shared" si="14"/>
        <v>5184.6400000000003</v>
      </c>
      <c r="Y78" s="3"/>
      <c r="Z78" s="7">
        <f t="shared" si="15"/>
        <v>5.1846399999999999</v>
      </c>
    </row>
    <row r="79" spans="1:26" s="70" customFormat="1" ht="15" hidden="1" customHeight="1" outlineLevel="2" x14ac:dyDescent="0.3">
      <c r="A79" s="26"/>
      <c r="B79" s="12" t="str">
        <f>CONCATENATE("          ","6243"," - ","PAPER SUPPLIES")</f>
        <v xml:space="preserve">          6243 - PAPER SUPPLIES</v>
      </c>
      <c r="C79" s="12"/>
      <c r="D79" s="8">
        <v>913.27</v>
      </c>
      <c r="E79" s="3"/>
      <c r="F79" s="7">
        <f t="shared" si="8"/>
        <v>3.5709731849149599E-3</v>
      </c>
      <c r="G79" s="3"/>
      <c r="H79" s="8">
        <v>2000</v>
      </c>
      <c r="I79" s="3"/>
      <c r="J79" s="7">
        <f t="shared" si="9"/>
        <v>1.6534391534391533E-2</v>
      </c>
      <c r="K79" s="3"/>
      <c r="L79" s="8">
        <f t="shared" si="10"/>
        <v>-1086.73</v>
      </c>
      <c r="M79" s="3"/>
      <c r="N79" s="7">
        <f t="shared" si="11"/>
        <v>-0.54336499999999999</v>
      </c>
      <c r="O79" s="12"/>
      <c r="P79" s="8">
        <v>35941.79</v>
      </c>
      <c r="Q79" s="3"/>
      <c r="R79" s="7">
        <f t="shared" si="12"/>
        <v>2.8293675392973006E-2</v>
      </c>
      <c r="S79" s="3"/>
      <c r="T79" s="8">
        <v>14000</v>
      </c>
      <c r="U79" s="3"/>
      <c r="V79" s="7">
        <f t="shared" si="13"/>
        <v>2.146185921020358E-2</v>
      </c>
      <c r="W79" s="3"/>
      <c r="X79" s="8">
        <f t="shared" si="14"/>
        <v>21941.79</v>
      </c>
      <c r="Y79" s="3"/>
      <c r="Z79" s="7">
        <f t="shared" si="15"/>
        <v>1.5672707142857143</v>
      </c>
    </row>
    <row r="80" spans="1:26" s="70" customFormat="1" ht="15" hidden="1" customHeight="1" outlineLevel="2" x14ac:dyDescent="0.3">
      <c r="A80" s="26"/>
      <c r="B80" s="12" t="str">
        <f>CONCATENATE("          ","6244"," - ","SAFETY SUPPLY EXPENSE")</f>
        <v xml:space="preserve">          6244 - SAFETY SUPPLY EXPENSE</v>
      </c>
      <c r="C80" s="12"/>
      <c r="D80" s="8"/>
      <c r="E80" s="3"/>
      <c r="F80" s="7">
        <f t="shared" si="8"/>
        <v>0</v>
      </c>
      <c r="G80" s="3"/>
      <c r="H80" s="8">
        <v>125</v>
      </c>
      <c r="I80" s="3"/>
      <c r="J80" s="7">
        <f t="shared" si="9"/>
        <v>1.0333994708994708E-3</v>
      </c>
      <c r="K80" s="3"/>
      <c r="L80" s="8">
        <f t="shared" si="10"/>
        <v>-125</v>
      </c>
      <c r="M80" s="3"/>
      <c r="N80" s="7">
        <f t="shared" si="11"/>
        <v>-1</v>
      </c>
      <c r="O80" s="12"/>
      <c r="P80" s="8"/>
      <c r="Q80" s="3"/>
      <c r="R80" s="7">
        <f t="shared" si="12"/>
        <v>0</v>
      </c>
      <c r="S80" s="3"/>
      <c r="T80" s="8">
        <v>1000</v>
      </c>
      <c r="U80" s="3"/>
      <c r="V80" s="7">
        <f t="shared" si="13"/>
        <v>1.53298994358597E-3</v>
      </c>
      <c r="W80" s="3"/>
      <c r="X80" s="8">
        <f t="shared" si="14"/>
        <v>-1000</v>
      </c>
      <c r="Y80" s="3"/>
      <c r="Z80" s="7">
        <f t="shared" si="15"/>
        <v>-1</v>
      </c>
    </row>
    <row r="81" spans="1:26" s="70" customFormat="1" ht="15" hidden="1" customHeight="1" outlineLevel="2" x14ac:dyDescent="0.3">
      <c r="A81" s="26"/>
      <c r="B81" s="12" t="str">
        <f>CONCATENATE("          ","6247"," - ","STORE SUPPLIES")</f>
        <v xml:space="preserve">          6247 - STORE SUPPLIES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652.62</v>
      </c>
      <c r="Q81" s="3"/>
      <c r="R81" s="7">
        <f t="shared" si="12"/>
        <v>5.1374788053021401E-4</v>
      </c>
      <c r="S81" s="3"/>
      <c r="T81" s="8"/>
      <c r="U81" s="3"/>
      <c r="V81" s="7">
        <f t="shared" si="13"/>
        <v>0</v>
      </c>
      <c r="W81" s="3"/>
      <c r="X81" s="8">
        <f t="shared" si="14"/>
        <v>652.62</v>
      </c>
      <c r="Y81" s="3"/>
      <c r="Z81" s="7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","6248"," - ","UNIFORMS")</f>
        <v xml:space="preserve">          6248 - UNIFORMS</v>
      </c>
      <c r="C82" s="12"/>
      <c r="D82" s="8"/>
      <c r="E82" s="3"/>
      <c r="F82" s="7">
        <f t="shared" si="8"/>
        <v>0</v>
      </c>
      <c r="G82" s="3"/>
      <c r="H82" s="8">
        <v>196</v>
      </c>
      <c r="I82" s="3"/>
      <c r="J82" s="7">
        <f t="shared" si="9"/>
        <v>1.6203703703703703E-3</v>
      </c>
      <c r="K82" s="3"/>
      <c r="L82" s="8">
        <f t="shared" si="10"/>
        <v>-196</v>
      </c>
      <c r="M82" s="3"/>
      <c r="N82" s="7">
        <f t="shared" si="11"/>
        <v>-1</v>
      </c>
      <c r="O82" s="12"/>
      <c r="P82" s="8">
        <v>1870.42</v>
      </c>
      <c r="Q82" s="3"/>
      <c r="R82" s="7">
        <f t="shared" si="12"/>
        <v>1.4724101478675539E-3</v>
      </c>
      <c r="S82" s="3"/>
      <c r="T82" s="8">
        <v>1568</v>
      </c>
      <c r="U82" s="3"/>
      <c r="V82" s="7">
        <f t="shared" si="13"/>
        <v>2.4037282315428009E-3</v>
      </c>
      <c r="W82" s="3"/>
      <c r="X82" s="8">
        <f t="shared" si="14"/>
        <v>302.42000000000007</v>
      </c>
      <c r="Y82" s="3"/>
      <c r="Z82" s="7">
        <f t="shared" si="15"/>
        <v>0.19286989795918372</v>
      </c>
    </row>
    <row r="83" spans="1:26" s="69" customFormat="1" ht="15" customHeight="1" outlineLevel="1" collapsed="1" x14ac:dyDescent="0.3">
      <c r="A83" s="25"/>
      <c r="B83" s="14" t="str">
        <f>CONCATENATE("     ","Telephone/Data Lines                              ")</f>
        <v xml:space="preserve">     Telephone/Data Lines                              </v>
      </c>
      <c r="C83" s="14"/>
      <c r="D83" s="2">
        <f>SUM(OSRRefD22_14x_0)</f>
        <v>186</v>
      </c>
      <c r="E83" s="2"/>
      <c r="F83" s="6">
        <f t="shared" si="8"/>
        <v>7.2727781750652333E-4</v>
      </c>
      <c r="G83" s="2"/>
      <c r="H83" s="2">
        <f>SUM(OSRRefH22_14x_0)</f>
        <v>125</v>
      </c>
      <c r="I83" s="2"/>
      <c r="J83" s="6">
        <f t="shared" si="9"/>
        <v>1.0333994708994708E-3</v>
      </c>
      <c r="K83" s="2"/>
      <c r="L83" s="2">
        <f t="shared" si="10"/>
        <v>61</v>
      </c>
      <c r="M83" s="2"/>
      <c r="N83" s="6">
        <f t="shared" si="11"/>
        <v>0.48799999999999999</v>
      </c>
      <c r="O83" s="14"/>
      <c r="P83" s="2">
        <f>SUM(OSRRefP22_14x_0)</f>
        <v>1178.8499999999999</v>
      </c>
      <c r="Q83" s="2"/>
      <c r="R83" s="6">
        <f t="shared" si="12"/>
        <v>9.2800050406521828E-4</v>
      </c>
      <c r="S83" s="2"/>
      <c r="T83" s="2">
        <f>SUM(OSRRefT22_14x_0)</f>
        <v>1000</v>
      </c>
      <c r="U83" s="2"/>
      <c r="V83" s="6">
        <f t="shared" si="13"/>
        <v>1.53298994358597E-3</v>
      </c>
      <c r="W83" s="2"/>
      <c r="X83" s="2">
        <f t="shared" si="14"/>
        <v>178.84999999999991</v>
      </c>
      <c r="Y83" s="2"/>
      <c r="Z83" s="6">
        <f t="shared" si="15"/>
        <v>0.1788499999999999</v>
      </c>
    </row>
    <row r="84" spans="1:26" s="70" customFormat="1" ht="15" hidden="1" customHeight="1" outlineLevel="2" x14ac:dyDescent="0.3">
      <c r="A84" s="26"/>
      <c r="B84" s="12" t="str">
        <f>CONCATENATE("          ","6309"," - ","TELEPHONE")</f>
        <v xml:space="preserve">          6309 - TELEPHONE</v>
      </c>
      <c r="C84" s="12"/>
      <c r="D84" s="8">
        <v>186</v>
      </c>
      <c r="E84" s="3"/>
      <c r="F84" s="7">
        <f t="shared" si="8"/>
        <v>7.2727781750652333E-4</v>
      </c>
      <c r="G84" s="3"/>
      <c r="H84" s="8">
        <v>125</v>
      </c>
      <c r="I84" s="3"/>
      <c r="J84" s="7">
        <f t="shared" si="9"/>
        <v>1.0333994708994708E-3</v>
      </c>
      <c r="K84" s="3"/>
      <c r="L84" s="8">
        <f t="shared" si="10"/>
        <v>61</v>
      </c>
      <c r="M84" s="3"/>
      <c r="N84" s="7">
        <f t="shared" si="11"/>
        <v>0.48799999999999999</v>
      </c>
      <c r="O84" s="12"/>
      <c r="P84" s="8">
        <v>1178.8499999999999</v>
      </c>
      <c r="Q84" s="3"/>
      <c r="R84" s="7">
        <f t="shared" si="12"/>
        <v>9.2800050406521828E-4</v>
      </c>
      <c r="S84" s="3"/>
      <c r="T84" s="8">
        <v>1000</v>
      </c>
      <c r="U84" s="3"/>
      <c r="V84" s="7">
        <f t="shared" si="13"/>
        <v>1.53298994358597E-3</v>
      </c>
      <c r="W84" s="3"/>
      <c r="X84" s="8">
        <f t="shared" si="14"/>
        <v>178.84999999999991</v>
      </c>
      <c r="Y84" s="3"/>
      <c r="Z84" s="7">
        <f t="shared" si="15"/>
        <v>0.1788499999999999</v>
      </c>
    </row>
    <row r="85" spans="1:26" s="69" customFormat="1" ht="15" customHeight="1" outlineLevel="1" collapsed="1" x14ac:dyDescent="0.3">
      <c r="A85" s="25"/>
      <c r="B85" s="14" t="str">
        <f>CONCATENATE("     ","Training                                          ")</f>
        <v xml:space="preserve">     Training                                          </v>
      </c>
      <c r="C85" s="14"/>
      <c r="D85" s="2">
        <f>SUM(OSRRefD22_15x_0)</f>
        <v>0</v>
      </c>
      <c r="E85" s="2"/>
      <c r="F85" s="6">
        <f t="shared" si="8"/>
        <v>0</v>
      </c>
      <c r="G85" s="2"/>
      <c r="H85" s="2">
        <f>SUM(OSRRefH22_15x_0)</f>
        <v>165</v>
      </c>
      <c r="I85" s="2"/>
      <c r="J85" s="6">
        <f t="shared" si="9"/>
        <v>1.3640873015873015E-3</v>
      </c>
      <c r="K85" s="2"/>
      <c r="L85" s="2">
        <f t="shared" si="10"/>
        <v>-165</v>
      </c>
      <c r="M85" s="2"/>
      <c r="N85" s="6">
        <f t="shared" si="11"/>
        <v>-1</v>
      </c>
      <c r="O85" s="14"/>
      <c r="P85" s="2">
        <f>SUM(OSRRefP22_15x_0)</f>
        <v>0</v>
      </c>
      <c r="Q85" s="2"/>
      <c r="R85" s="6">
        <f t="shared" si="12"/>
        <v>0</v>
      </c>
      <c r="S85" s="2"/>
      <c r="T85" s="2">
        <f>SUM(OSRRefT22_15x_0)</f>
        <v>1340</v>
      </c>
      <c r="U85" s="2"/>
      <c r="V85" s="6">
        <f t="shared" si="13"/>
        <v>2.0542065244052001E-3</v>
      </c>
      <c r="W85" s="2"/>
      <c r="X85" s="2">
        <f t="shared" si="14"/>
        <v>-1340</v>
      </c>
      <c r="Y85" s="2"/>
      <c r="Z85" s="6">
        <f t="shared" si="15"/>
        <v>-1</v>
      </c>
    </row>
    <row r="86" spans="1:26" s="70" customFormat="1" ht="15" hidden="1" customHeight="1" outlineLevel="2" x14ac:dyDescent="0.3">
      <c r="A86" s="26"/>
      <c r="B86" s="12" t="str">
        <f>CONCATENATE("          ","6376"," - ","TRAINING")</f>
        <v xml:space="preserve">          6376 - TRAINING</v>
      </c>
      <c r="C86" s="12"/>
      <c r="D86" s="8"/>
      <c r="E86" s="3"/>
      <c r="F86" s="7">
        <f t="shared" si="8"/>
        <v>0</v>
      </c>
      <c r="G86" s="3"/>
      <c r="H86" s="8">
        <v>165</v>
      </c>
      <c r="I86" s="3"/>
      <c r="J86" s="7">
        <f t="shared" si="9"/>
        <v>1.3640873015873015E-3</v>
      </c>
      <c r="K86" s="3"/>
      <c r="L86" s="8">
        <f t="shared" si="10"/>
        <v>-165</v>
      </c>
      <c r="M86" s="3"/>
      <c r="N86" s="7">
        <f t="shared" si="11"/>
        <v>-1</v>
      </c>
      <c r="O86" s="12"/>
      <c r="P86" s="8"/>
      <c r="Q86" s="3"/>
      <c r="R86" s="7">
        <f t="shared" si="12"/>
        <v>0</v>
      </c>
      <c r="S86" s="3"/>
      <c r="T86" s="8">
        <v>1340</v>
      </c>
      <c r="U86" s="3"/>
      <c r="V86" s="7">
        <f t="shared" si="13"/>
        <v>2.0542065244052001E-3</v>
      </c>
      <c r="W86" s="3"/>
      <c r="X86" s="8">
        <f t="shared" si="14"/>
        <v>-1340</v>
      </c>
      <c r="Y86" s="3"/>
      <c r="Z86" s="7">
        <f t="shared" si="15"/>
        <v>-1</v>
      </c>
    </row>
    <row r="87" spans="1:26" s="69" customFormat="1" ht="15" customHeight="1" outlineLevel="1" collapsed="1" x14ac:dyDescent="0.3">
      <c r="A87" s="25"/>
      <c r="B87" s="14" t="str">
        <f>CONCATENATE("     ","Travel                                            ")</f>
        <v xml:space="preserve">     Travel                                            </v>
      </c>
      <c r="C87" s="14"/>
      <c r="D87" s="2">
        <f>SUM(OSRRefD22_16x_0)</f>
        <v>0</v>
      </c>
      <c r="E87" s="2"/>
      <c r="F87" s="6">
        <f t="shared" si="8"/>
        <v>0</v>
      </c>
      <c r="G87" s="2"/>
      <c r="H87" s="2">
        <f>SUM(OSRRefH22_16x_0)</f>
        <v>0</v>
      </c>
      <c r="I87" s="2"/>
      <c r="J87" s="6">
        <f t="shared" si="9"/>
        <v>0</v>
      </c>
      <c r="K87" s="2"/>
      <c r="L87" s="2">
        <f t="shared" si="10"/>
        <v>0</v>
      </c>
      <c r="M87" s="2"/>
      <c r="N87" s="6">
        <f t="shared" si="11"/>
        <v>0</v>
      </c>
      <c r="O87" s="14"/>
      <c r="P87" s="2">
        <f>SUM(OSRRefP22_16x_0)</f>
        <v>104.02</v>
      </c>
      <c r="Q87" s="2"/>
      <c r="R87" s="6">
        <f t="shared" si="12"/>
        <v>8.1885407331606236E-5</v>
      </c>
      <c r="S87" s="2"/>
      <c r="T87" s="2">
        <f>SUM(OSRRefT22_16x_0)</f>
        <v>0</v>
      </c>
      <c r="U87" s="2"/>
      <c r="V87" s="6">
        <f t="shared" si="13"/>
        <v>0</v>
      </c>
      <c r="W87" s="2"/>
      <c r="X87" s="2">
        <f t="shared" si="14"/>
        <v>104.02</v>
      </c>
      <c r="Y87" s="2"/>
      <c r="Z87" s="6">
        <f t="shared" si="15"/>
        <v>0</v>
      </c>
    </row>
    <row r="88" spans="1:26" s="70" customFormat="1" ht="15" hidden="1" customHeight="1" outlineLevel="2" x14ac:dyDescent="0.3">
      <c r="A88" s="26"/>
      <c r="B88" s="12" t="str">
        <f>CONCATENATE("          ","6298"," - ","VEHICLE MILEAGE")</f>
        <v xml:space="preserve">          6298 - VEHICLE MILEAGE</v>
      </c>
      <c r="C88" s="12"/>
      <c r="D88" s="8"/>
      <c r="E88" s="3"/>
      <c r="F88" s="7">
        <f t="shared" si="8"/>
        <v>0</v>
      </c>
      <c r="G88" s="3"/>
      <c r="H88" s="8"/>
      <c r="I88" s="3"/>
      <c r="J88" s="7">
        <f t="shared" si="9"/>
        <v>0</v>
      </c>
      <c r="K88" s="3"/>
      <c r="L88" s="8">
        <f t="shared" si="10"/>
        <v>0</v>
      </c>
      <c r="M88" s="3"/>
      <c r="N88" s="7">
        <f t="shared" si="11"/>
        <v>0</v>
      </c>
      <c r="O88" s="12"/>
      <c r="P88" s="8">
        <v>104.02</v>
      </c>
      <c r="Q88" s="3"/>
      <c r="R88" s="7">
        <f t="shared" si="12"/>
        <v>8.1885407331606236E-5</v>
      </c>
      <c r="S88" s="3"/>
      <c r="T88" s="8"/>
      <c r="U88" s="3"/>
      <c r="V88" s="7">
        <f t="shared" si="13"/>
        <v>0</v>
      </c>
      <c r="W88" s="3"/>
      <c r="X88" s="8">
        <f t="shared" si="14"/>
        <v>104.02</v>
      </c>
      <c r="Y88" s="3"/>
      <c r="Z88" s="7">
        <f t="shared" si="15"/>
        <v>0</v>
      </c>
    </row>
    <row r="89" spans="1:26" s="65" customFormat="1" ht="15" customHeight="1" x14ac:dyDescent="0.3">
      <c r="A89" s="35"/>
      <c r="B89" s="35"/>
      <c r="C89" s="35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35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63" customFormat="1" ht="15" customHeight="1" x14ac:dyDescent="0.3">
      <c r="A90" s="11"/>
      <c r="B90" s="27" t="s">
        <v>291</v>
      </c>
      <c r="C90" s="11"/>
      <c r="D90" s="5">
        <f>SUM(0)</f>
        <v>0</v>
      </c>
      <c r="E90" s="5"/>
      <c r="F90" s="13">
        <f>IF(D$12=0,0,D90/D$12)</f>
        <v>0</v>
      </c>
      <c r="G90" s="5"/>
      <c r="H90" s="5">
        <f>SUM(0)</f>
        <v>0</v>
      </c>
      <c r="I90" s="5"/>
      <c r="J90" s="13">
        <f>IF(H$12=0,0,H90/H$12)</f>
        <v>0</v>
      </c>
      <c r="K90" s="5"/>
      <c r="L90" s="5">
        <f>+D90-H90</f>
        <v>0</v>
      </c>
      <c r="M90" s="5"/>
      <c r="N90" s="13">
        <f>IF(H90=0,0,L90/H90)</f>
        <v>0</v>
      </c>
      <c r="O90" s="11"/>
      <c r="P90" s="5">
        <f>SUM(0)</f>
        <v>0</v>
      </c>
      <c r="Q90" s="5"/>
      <c r="R90" s="13">
        <f>IF(P$12=0,0,P90/P$12)</f>
        <v>0</v>
      </c>
      <c r="S90" s="5"/>
      <c r="T90" s="5">
        <f>SUM(0)</f>
        <v>0</v>
      </c>
      <c r="U90" s="5"/>
      <c r="V90" s="13">
        <f>IF(T$12=0,0,T90/T$12)</f>
        <v>0</v>
      </c>
      <c r="W90" s="5"/>
      <c r="X90" s="5">
        <f>+P90-T90</f>
        <v>0</v>
      </c>
      <c r="Y90" s="5"/>
      <c r="Z90" s="13">
        <f>IF(T90=0,0,X90/T90)</f>
        <v>0</v>
      </c>
    </row>
    <row r="91" spans="1:26" ht="15" customHeight="1" x14ac:dyDescent="0.3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11"/>
      <c r="B92" s="28" t="s">
        <v>292</v>
      </c>
      <c r="C92" s="28"/>
      <c r="D92" s="21">
        <f>+D23-D25+D90</f>
        <v>71241.239999999991</v>
      </c>
      <c r="E92" s="15"/>
      <c r="F92" s="22">
        <f>IF(D$12=0,0,D92/D$12)</f>
        <v>0.27856007281536788</v>
      </c>
      <c r="G92" s="15"/>
      <c r="H92" s="21">
        <f>+H23-H25+H90</f>
        <v>-36896.502996923111</v>
      </c>
      <c r="I92" s="15"/>
      <c r="J92" s="22">
        <f>IF(H$12=0,0,H92/H$12)</f>
        <v>-0.3050306134004887</v>
      </c>
      <c r="K92" s="16"/>
      <c r="L92" s="21">
        <f>+D92-H92</f>
        <v>108137.7429969231</v>
      </c>
      <c r="M92" s="16"/>
      <c r="N92" s="22">
        <f>IF(H92=0,0,L92/H92)</f>
        <v>-2.9308398957467858</v>
      </c>
      <c r="O92" s="27"/>
      <c r="P92" s="21">
        <f>+P23-P25+P90</f>
        <v>77488.840000000084</v>
      </c>
      <c r="Q92" s="15"/>
      <c r="R92" s="22">
        <f>IF(P$12=0,0,P92/P$12)</f>
        <v>6.0999857979750723E-2</v>
      </c>
      <c r="S92" s="15"/>
      <c r="T92" s="21">
        <f>+T23-T25+T90</f>
        <v>-476919.33872307732</v>
      </c>
      <c r="U92" s="15"/>
      <c r="V92" s="22">
        <f>IF(T$12=0,0,T92/T$12)</f>
        <v>-0.73111255016414844</v>
      </c>
      <c r="W92" s="16"/>
      <c r="X92" s="21">
        <f>+P92-T92</f>
        <v>554408.17872307741</v>
      </c>
      <c r="Y92" s="16"/>
      <c r="Z92" s="22">
        <f>IF(T92=0,0,X92/T92)</f>
        <v>-1.1624778735277788</v>
      </c>
    </row>
    <row r="93" spans="1:26" ht="15" customHeight="1" x14ac:dyDescent="0.3">
      <c r="A93" s="10"/>
      <c r="B93" s="11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49"/>
      <c r="B94" s="11" t="s">
        <v>293</v>
      </c>
      <c r="C94" s="11"/>
      <c r="D94" s="5">
        <v>24268.6</v>
      </c>
      <c r="E94" s="5"/>
      <c r="F94" s="13">
        <f>IF(D$12=0,0,D94/D$12)</f>
        <v>9.4892550763111885E-2</v>
      </c>
      <c r="G94" s="5"/>
      <c r="H94" s="5">
        <v>13167</v>
      </c>
      <c r="I94" s="5"/>
      <c r="J94" s="13">
        <f>IF(H$12=0,0,H94/H$12)</f>
        <v>0.10885416666666667</v>
      </c>
      <c r="K94" s="5"/>
      <c r="L94" s="5">
        <f>+D94-H94</f>
        <v>11101.599999999999</v>
      </c>
      <c r="M94" s="5"/>
      <c r="N94" s="13">
        <f>IF(H94=0,0,L94/H94)</f>
        <v>0.84313814840130619</v>
      </c>
      <c r="O94" s="11"/>
      <c r="P94" s="5">
        <v>158563.74</v>
      </c>
      <c r="Q94" s="5"/>
      <c r="R94" s="13">
        <f>IF(P$12=0,0,P94/P$12)</f>
        <v>0.12482269215461358</v>
      </c>
      <c r="S94" s="5"/>
      <c r="T94" s="5">
        <v>79744</v>
      </c>
      <c r="U94" s="5"/>
      <c r="V94" s="13">
        <f>IF(T$12=0,0,T94/T$12)</f>
        <v>0.1222467500613196</v>
      </c>
      <c r="W94" s="5"/>
      <c r="X94" s="5">
        <f>+P94-T94</f>
        <v>78819.739999999991</v>
      </c>
      <c r="Y94" s="5"/>
      <c r="Z94" s="13">
        <f>IF(T94=0,0,X94/T94)</f>
        <v>0.98840966091492766</v>
      </c>
    </row>
    <row r="95" spans="1:26" ht="15" customHeight="1" x14ac:dyDescent="0.3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11"/>
      <c r="B96" s="28" t="s">
        <v>294</v>
      </c>
      <c r="C96" s="28"/>
      <c r="D96" s="33">
        <f>+D92-D94</f>
        <v>46972.639999999992</v>
      </c>
      <c r="E96" s="15"/>
      <c r="F96" s="32">
        <f>IF(D$12=0,0,D96/D$12)</f>
        <v>0.18366752205225598</v>
      </c>
      <c r="G96" s="15"/>
      <c r="H96" s="33">
        <f>+H92-H94</f>
        <v>-50063.502996923111</v>
      </c>
      <c r="I96" s="15"/>
      <c r="J96" s="32">
        <f>IF(H$12=0,0,H96/H$12)</f>
        <v>-0.41388478006715534</v>
      </c>
      <c r="K96" s="16"/>
      <c r="L96" s="33">
        <f>D96-H96</f>
        <v>97036.142996923096</v>
      </c>
      <c r="M96" s="16"/>
      <c r="N96" s="32">
        <f>IF(H96=0,0,L96/H96)</f>
        <v>-1.9382611520989035</v>
      </c>
      <c r="O96" s="27"/>
      <c r="P96" s="33">
        <f>+P92-P94</f>
        <v>-81074.899999999907</v>
      </c>
      <c r="Q96" s="15"/>
      <c r="R96" s="32">
        <f>IF(P$12=0,0,P96/P$12)</f>
        <v>-6.3822834174862869E-2</v>
      </c>
      <c r="S96" s="15"/>
      <c r="T96" s="33">
        <f>+T92-T94</f>
        <v>-556663.33872307732</v>
      </c>
      <c r="U96" s="15"/>
      <c r="V96" s="32">
        <f>IF(T$12=0,0,T96/T$12)</f>
        <v>-0.85335930022546802</v>
      </c>
      <c r="W96" s="16"/>
      <c r="X96" s="33">
        <f>P96-T96</f>
        <v>475588.43872307742</v>
      </c>
      <c r="Y96" s="16"/>
      <c r="Z96" s="32">
        <f>IF(T96=0,0,X96/T96)</f>
        <v>-0.8543555963538455</v>
      </c>
    </row>
    <row r="97" spans="1:26" ht="15" customHeight="1" x14ac:dyDescent="0.3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11"/>
      <c r="B99" s="28" t="s">
        <v>297</v>
      </c>
      <c r="C99" s="28"/>
      <c r="D99" s="34">
        <f>SUM(D96:D98)</f>
        <v>46972.639999999992</v>
      </c>
      <c r="E99" s="15"/>
      <c r="F99" s="30">
        <f>IF(D$12=0,0,D99/D$12)</f>
        <v>0.18366752205225598</v>
      </c>
      <c r="G99" s="15"/>
      <c r="H99" s="34">
        <f>SUM(H96:H98)</f>
        <v>-50063.502996923111</v>
      </c>
      <c r="I99" s="15"/>
      <c r="J99" s="30">
        <f>IF(H$12=0,0,H99/H$12)</f>
        <v>-0.41388478006715534</v>
      </c>
      <c r="K99" s="16"/>
      <c r="L99" s="34">
        <f>+D99-H99</f>
        <v>97036.142996923096</v>
      </c>
      <c r="M99" s="16"/>
      <c r="N99" s="30">
        <f>IF(H99=0,0,L99/H99)</f>
        <v>-1.9382611520989035</v>
      </c>
      <c r="O99" s="27"/>
      <c r="P99" s="34">
        <f>SUM(P96:P98)</f>
        <v>-81074.899999999907</v>
      </c>
      <c r="Q99" s="15"/>
      <c r="R99" s="30">
        <f>IF(P$12=0,0,P99/P$12)</f>
        <v>-6.3822834174862869E-2</v>
      </c>
      <c r="S99" s="15"/>
      <c r="T99" s="34">
        <f>SUM(T96:T98)</f>
        <v>-556663.33872307732</v>
      </c>
      <c r="U99" s="15"/>
      <c r="V99" s="30">
        <f>IF(T$12=0,0,T99/T$12)</f>
        <v>-0.85335930022546802</v>
      </c>
      <c r="W99" s="16"/>
      <c r="X99" s="34">
        <f>+P99-T99</f>
        <v>475588.43872307742</v>
      </c>
      <c r="Y99" s="16"/>
      <c r="Z99" s="30">
        <f>IF(T99=0,0,X99/T99)</f>
        <v>-0.8543555963538455</v>
      </c>
    </row>
    <row r="100" spans="1:26" ht="15" customHeight="1" x14ac:dyDescent="0.3">
      <c r="A100" s="10"/>
      <c r="C100" s="10"/>
      <c r="D100" s="19"/>
      <c r="E100" s="19"/>
      <c r="G100" s="19"/>
      <c r="H100" s="19"/>
      <c r="I100" s="19"/>
      <c r="J100" s="41"/>
      <c r="K100" s="19"/>
      <c r="L100" s="19"/>
      <c r="M100" s="19"/>
      <c r="P100" s="19"/>
      <c r="Q100" s="19"/>
      <c r="R100" s="41"/>
      <c r="S100" s="19"/>
      <c r="T100" s="19"/>
      <c r="U100" s="19"/>
      <c r="V100" s="41"/>
      <c r="W100" s="19"/>
      <c r="X100" s="19"/>
    </row>
    <row r="101" spans="1:26" ht="15" customHeight="1" x14ac:dyDescent="0.3">
      <c r="A101" s="10"/>
      <c r="B101" s="57">
        <v>44634.883430555557</v>
      </c>
      <c r="D101" s="19"/>
      <c r="E101" s="19"/>
      <c r="G101" s="19"/>
      <c r="H101" s="19"/>
      <c r="I101" s="19"/>
      <c r="J101" s="41"/>
      <c r="K101" s="19"/>
      <c r="L101" s="19"/>
      <c r="M101" s="19"/>
      <c r="P101" s="19"/>
      <c r="Q101" s="19"/>
      <c r="R101" s="41"/>
      <c r="S101" s="19"/>
      <c r="T101" s="19"/>
      <c r="U101" s="19"/>
      <c r="V101" s="41"/>
      <c r="W101" s="19"/>
      <c r="X101" s="19"/>
    </row>
    <row r="102" spans="1:26" ht="15" customHeight="1" x14ac:dyDescent="0.3">
      <c r="A102" s="10"/>
      <c r="B102" s="56" t="s">
        <v>298</v>
      </c>
      <c r="D102" s="19"/>
      <c r="E102" s="19"/>
      <c r="G102" s="19"/>
      <c r="H102" s="19"/>
      <c r="I102" s="19"/>
      <c r="J102" s="41"/>
      <c r="K102" s="19"/>
      <c r="L102" s="19"/>
      <c r="M102" s="19"/>
      <c r="P102" s="19"/>
      <c r="Q102" s="19"/>
      <c r="R102" s="41"/>
      <c r="S102" s="19"/>
      <c r="T102" s="19"/>
      <c r="U102" s="19"/>
      <c r="V102" s="41"/>
      <c r="W102" s="19"/>
      <c r="X102" s="19"/>
    </row>
    <row r="103" spans="1:26" ht="15" customHeight="1" x14ac:dyDescent="0.3">
      <c r="A103" s="10"/>
      <c r="B103" s="54"/>
      <c r="D103" s="19"/>
      <c r="E103" s="19"/>
      <c r="G103" s="19"/>
      <c r="H103" s="19"/>
      <c r="I103" s="19"/>
      <c r="J103" s="41"/>
      <c r="K103" s="19"/>
      <c r="L103" s="19"/>
      <c r="M103" s="19"/>
      <c r="P103" s="19"/>
      <c r="Q103" s="19"/>
      <c r="R103" s="41"/>
      <c r="S103" s="19"/>
      <c r="T103" s="19"/>
      <c r="U103" s="19"/>
      <c r="V103" s="41"/>
      <c r="W103" s="19"/>
      <c r="X103" s="19"/>
    </row>
    <row r="104" spans="1:26" ht="15" customHeight="1" x14ac:dyDescent="0.3">
      <c r="D104" s="19"/>
      <c r="E104" s="19"/>
      <c r="G104" s="19"/>
      <c r="H104" s="19"/>
      <c r="I104" s="19"/>
      <c r="J104" s="41"/>
      <c r="K104" s="19"/>
      <c r="L104" s="19"/>
      <c r="M104" s="19"/>
      <c r="P104" s="19"/>
      <c r="Q104" s="19"/>
      <c r="R104" s="41"/>
      <c r="S104" s="19"/>
      <c r="T104" s="19"/>
      <c r="U104" s="19"/>
      <c r="V104" s="41"/>
      <c r="W104" s="19"/>
      <c r="X104" s="19"/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63766-6F4D-69CE-2BD1-AB7F2C5CE46B}">
  <sheetPr>
    <tabColor rgb="FFFFC00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314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34845</v>
      </c>
      <c r="E12" s="5"/>
      <c r="F12" s="13"/>
      <c r="G12" s="5"/>
      <c r="H12" s="5">
        <f>SUM(OSRRefH13x_0)</f>
        <v>35816</v>
      </c>
      <c r="I12" s="5"/>
      <c r="J12" s="13"/>
      <c r="K12" s="5"/>
      <c r="L12" s="5">
        <f>+D12-H12</f>
        <v>-971</v>
      </c>
      <c r="M12" s="5"/>
      <c r="N12" s="13">
        <f>IF(H12=0,0,L12/H12)</f>
        <v>-2.7110788474424836E-2</v>
      </c>
      <c r="O12" s="11"/>
      <c r="P12" s="5">
        <f>SUM(OSRRefP13x_0)</f>
        <v>346498</v>
      </c>
      <c r="Q12" s="5"/>
      <c r="R12" s="13"/>
      <c r="S12" s="5"/>
      <c r="T12" s="5">
        <f>SUM(OSRRefT13x_0)</f>
        <v>443302</v>
      </c>
      <c r="U12" s="5"/>
      <c r="V12" s="13"/>
      <c r="W12" s="5"/>
      <c r="X12" s="5">
        <f>+P12-T12</f>
        <v>-96804</v>
      </c>
      <c r="Y12" s="5"/>
      <c r="Z12" s="13">
        <f>IF(T12=0,0,X12/T12)</f>
        <v>-0.21837032090989889</v>
      </c>
    </row>
    <row r="13" spans="1:26" s="70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--34845</f>
        <v>34845</v>
      </c>
      <c r="E13" s="3"/>
      <c r="F13" s="20"/>
      <c r="G13" s="3"/>
      <c r="H13" s="3">
        <v>35816</v>
      </c>
      <c r="I13" s="3"/>
      <c r="J13" s="20"/>
      <c r="K13" s="3"/>
      <c r="L13" s="3">
        <f>+D13-H13</f>
        <v>-971</v>
      </c>
      <c r="M13" s="3"/>
      <c r="N13" s="20">
        <f>IF(H13=0,0,L13/H13)</f>
        <v>-2.7110788474424836E-2</v>
      </c>
      <c r="O13" s="12"/>
      <c r="P13" s="3">
        <f>--346498</f>
        <v>346498</v>
      </c>
      <c r="Q13" s="3"/>
      <c r="R13" s="20"/>
      <c r="S13" s="3"/>
      <c r="T13" s="3">
        <v>443302</v>
      </c>
      <c r="U13" s="3"/>
      <c r="V13" s="20"/>
      <c r="W13" s="3"/>
      <c r="X13" s="3">
        <f>+P13-T13</f>
        <v>-96804</v>
      </c>
      <c r="Y13" s="3"/>
      <c r="Z13" s="20">
        <f>IF(T13=0,0,X13/T13)</f>
        <v>-0.21837032090989889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3">
      <c r="A15" s="11"/>
      <c r="B15" s="27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8" t="s">
        <v>289</v>
      </c>
      <c r="C17" s="28"/>
      <c r="D17" s="21">
        <f>D12-D15</f>
        <v>34845</v>
      </c>
      <c r="E17" s="15"/>
      <c r="F17" s="22">
        <f>IF(D$12=0,0,D17/D$12)</f>
        <v>1</v>
      </c>
      <c r="G17" s="15"/>
      <c r="H17" s="21">
        <f>H12-H15</f>
        <v>35816</v>
      </c>
      <c r="I17" s="15"/>
      <c r="J17" s="22">
        <f>IF(H$12=0,0,H17/H$12)</f>
        <v>1</v>
      </c>
      <c r="K17" s="16"/>
      <c r="L17" s="21">
        <f>+D17-H17</f>
        <v>-971</v>
      </c>
      <c r="M17" s="16"/>
      <c r="N17" s="22">
        <f>IF(H17=0,0,L17/H17)</f>
        <v>-2.7110788474424836E-2</v>
      </c>
      <c r="O17" s="27"/>
      <c r="P17" s="21">
        <f>P12-P15</f>
        <v>346498</v>
      </c>
      <c r="Q17" s="15"/>
      <c r="R17" s="22">
        <f>IF(P$12=0,0,P17/P$12)</f>
        <v>1</v>
      </c>
      <c r="S17" s="15"/>
      <c r="T17" s="21">
        <f>T12-T15</f>
        <v>443302</v>
      </c>
      <c r="U17" s="15"/>
      <c r="V17" s="22">
        <f>IF(T$12=0,0,T17/T$12)</f>
        <v>1</v>
      </c>
      <c r="W17" s="16"/>
      <c r="X17" s="21">
        <f>+P17-T17</f>
        <v>-96804</v>
      </c>
      <c r="Y17" s="16"/>
      <c r="Z17" s="22">
        <f>IF(T17=0,0,X17/T17)</f>
        <v>-0.21837032090989889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7" t="s">
        <v>290</v>
      </c>
      <c r="C19" s="11"/>
      <c r="D19" s="23" cm="1">
        <f t="array" ref="D19">SUM(OSRRefD22x_0)</f>
        <v>30247.550000000003</v>
      </c>
      <c r="E19" s="23"/>
      <c r="F19" s="29">
        <f t="shared" ref="F19:F50" si="0">IF(D$12=0,0,D19/D$12)</f>
        <v>0.86805997991103467</v>
      </c>
      <c r="G19" s="23"/>
      <c r="H19" s="23" cm="1">
        <f t="array" ref="H19">SUM(OSRRefH22x_0)</f>
        <v>34555.098654177687</v>
      </c>
      <c r="I19" s="23"/>
      <c r="J19" s="29">
        <f t="shared" ref="J19:J50" si="1">IF(H$12=0,0,H19/H$12)</f>
        <v>0.96479502608269174</v>
      </c>
      <c r="K19" s="5"/>
      <c r="L19" s="23">
        <f t="shared" ref="L19:L50" si="2">+D19-H19</f>
        <v>-4307.5486541776845</v>
      </c>
      <c r="M19" s="5"/>
      <c r="N19" s="29">
        <f t="shared" ref="N19:N50" si="3">IF(H19=0,0,L19/H19)</f>
        <v>-0.12465739708304681</v>
      </c>
      <c r="O19" s="11"/>
      <c r="P19" s="23" cm="1">
        <f t="array" ref="P19">SUM(OSRRefP22x_0)</f>
        <v>313285.86</v>
      </c>
      <c r="Q19" s="23"/>
      <c r="R19" s="29">
        <f t="shared" ref="R19:R50" si="4">IF(P$12=0,0,P19/P$12)</f>
        <v>0.9041491148578058</v>
      </c>
      <c r="S19" s="23"/>
      <c r="T19" s="23" cm="1">
        <f t="array" ref="T19">SUM(OSRRefT22x_0)</f>
        <v>417194.61112030479</v>
      </c>
      <c r="U19" s="23"/>
      <c r="V19" s="29">
        <f t="shared" ref="V19:V50" si="5">IF(T$12=0,0,T19/T$12)</f>
        <v>0.94110699053986846</v>
      </c>
      <c r="W19" s="5"/>
      <c r="X19" s="23">
        <f t="shared" ref="X19:X50" si="6">+P19-T19</f>
        <v>-103908.75112030481</v>
      </c>
      <c r="Y19" s="5"/>
      <c r="Z19" s="29">
        <f t="shared" ref="Z19:Z50" si="7">IF(T19=0,0,X19/T19)</f>
        <v>-0.24906542019149197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5605.2200000000012</v>
      </c>
      <c r="E20" s="2"/>
      <c r="F20" s="6">
        <f t="shared" si="0"/>
        <v>0.16086152963122402</v>
      </c>
      <c r="G20" s="2"/>
      <c r="H20" s="2">
        <f>SUM(OSRRefH22_0x_0)</f>
        <v>3352.8104118699998</v>
      </c>
      <c r="I20" s="2"/>
      <c r="J20" s="6">
        <f t="shared" si="1"/>
        <v>9.3612084316227376E-2</v>
      </c>
      <c r="K20" s="2"/>
      <c r="L20" s="2">
        <f t="shared" si="2"/>
        <v>2252.4095881300013</v>
      </c>
      <c r="M20" s="2"/>
      <c r="N20" s="6">
        <f t="shared" si="3"/>
        <v>0.67179748075100376</v>
      </c>
      <c r="O20" s="14"/>
      <c r="P20" s="2">
        <f>SUM(OSRRefP22_0x_0)</f>
        <v>33614.540000000008</v>
      </c>
      <c r="Q20" s="2"/>
      <c r="R20" s="6">
        <f t="shared" si="4"/>
        <v>9.7012219406749853E-2</v>
      </c>
      <c r="S20" s="2"/>
      <c r="T20" s="2">
        <f>SUM(OSRRefT22_0x_0)</f>
        <v>30402.276500112501</v>
      </c>
      <c r="U20" s="2"/>
      <c r="V20" s="6">
        <f t="shared" si="5"/>
        <v>6.85814106413066E-2</v>
      </c>
      <c r="W20" s="2"/>
      <c r="X20" s="2">
        <f t="shared" si="6"/>
        <v>3212.2634998875074</v>
      </c>
      <c r="Y20" s="2"/>
      <c r="Z20" s="6">
        <f t="shared" si="7"/>
        <v>0.10565865026178617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912.86</v>
      </c>
      <c r="E21" s="3"/>
      <c r="F21" s="7">
        <f t="shared" si="0"/>
        <v>2.6197732816759939E-2</v>
      </c>
      <c r="G21" s="3"/>
      <c r="H21" s="8">
        <v>673.19318387769204</v>
      </c>
      <c r="I21" s="3"/>
      <c r="J21" s="7">
        <f t="shared" si="1"/>
        <v>1.879587848664541E-2</v>
      </c>
      <c r="K21" s="3"/>
      <c r="L21" s="8">
        <f t="shared" si="2"/>
        <v>239.66681612230798</v>
      </c>
      <c r="M21" s="3"/>
      <c r="N21" s="7">
        <f t="shared" si="3"/>
        <v>0.35601491794939422</v>
      </c>
      <c r="O21" s="12"/>
      <c r="P21" s="8">
        <v>8379.06</v>
      </c>
      <c r="Q21" s="3"/>
      <c r="R21" s="7">
        <f t="shared" si="4"/>
        <v>2.4182130921390599E-2</v>
      </c>
      <c r="S21" s="3"/>
      <c r="T21" s="8">
        <v>7839.3150739298098</v>
      </c>
      <c r="U21" s="3"/>
      <c r="V21" s="7">
        <f t="shared" si="5"/>
        <v>1.7683915420931576E-2</v>
      </c>
      <c r="W21" s="3"/>
      <c r="X21" s="8">
        <f t="shared" si="6"/>
        <v>539.74492607018965</v>
      </c>
      <c r="Y21" s="3"/>
      <c r="Z21" s="7">
        <f t="shared" si="7"/>
        <v>6.8851031114331551E-2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174.33</v>
      </c>
      <c r="E22" s="3"/>
      <c r="F22" s="7">
        <f t="shared" si="0"/>
        <v>5.0030133448127423E-3</v>
      </c>
      <c r="G22" s="3"/>
      <c r="H22" s="8">
        <v>309.39029640000001</v>
      </c>
      <c r="I22" s="3"/>
      <c r="J22" s="7">
        <f t="shared" si="1"/>
        <v>8.6383263457672551E-3</v>
      </c>
      <c r="K22" s="3"/>
      <c r="L22" s="8">
        <f t="shared" si="2"/>
        <v>-135.0602964</v>
      </c>
      <c r="M22" s="3"/>
      <c r="N22" s="7">
        <f t="shared" si="3"/>
        <v>-0.43653695016144012</v>
      </c>
      <c r="O22" s="12"/>
      <c r="P22" s="8">
        <v>1337.41</v>
      </c>
      <c r="Q22" s="3"/>
      <c r="R22" s="7">
        <f t="shared" si="4"/>
        <v>3.8597913985073508E-3</v>
      </c>
      <c r="S22" s="3"/>
      <c r="T22" s="8">
        <v>2668.9616685000001</v>
      </c>
      <c r="U22" s="3"/>
      <c r="V22" s="7">
        <f t="shared" si="5"/>
        <v>6.0206398087534006E-3</v>
      </c>
      <c r="W22" s="3"/>
      <c r="X22" s="8">
        <f t="shared" si="6"/>
        <v>-1331.5516685</v>
      </c>
      <c r="Y22" s="3"/>
      <c r="Z22" s="7">
        <f t="shared" si="7"/>
        <v>-0.49890250737409569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2.7685464198593773E-2</v>
      </c>
      <c r="G23" s="3"/>
      <c r="H23" s="8">
        <v>1022.5</v>
      </c>
      <c r="I23" s="3"/>
      <c r="J23" s="7">
        <f t="shared" si="1"/>
        <v>2.8548693321420595E-2</v>
      </c>
      <c r="K23" s="3"/>
      <c r="L23" s="8">
        <f t="shared" si="2"/>
        <v>-57.799999999999955</v>
      </c>
      <c r="M23" s="3"/>
      <c r="N23" s="7">
        <f t="shared" si="3"/>
        <v>-5.6528117359413162E-2</v>
      </c>
      <c r="O23" s="12"/>
      <c r="P23" s="8">
        <v>8255.5</v>
      </c>
      <c r="Q23" s="3"/>
      <c r="R23" s="7">
        <f t="shared" si="4"/>
        <v>2.3825534346518594E-2</v>
      </c>
      <c r="S23" s="3"/>
      <c r="T23" s="8">
        <v>8180</v>
      </c>
      <c r="U23" s="3"/>
      <c r="V23" s="7">
        <f t="shared" si="5"/>
        <v>1.8452431976395324E-2</v>
      </c>
      <c r="W23" s="3"/>
      <c r="X23" s="8">
        <f t="shared" si="6"/>
        <v>75.5</v>
      </c>
      <c r="Y23" s="3"/>
      <c r="Z23" s="7">
        <f t="shared" si="7"/>
        <v>9.2298288508557459E-3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34.5</v>
      </c>
      <c r="E24" s="3"/>
      <c r="F24" s="7">
        <f t="shared" si="0"/>
        <v>9.9009900990099011E-4</v>
      </c>
      <c r="G24" s="3"/>
      <c r="H24" s="8">
        <v>41.648693746153803</v>
      </c>
      <c r="I24" s="3"/>
      <c r="J24" s="7">
        <f t="shared" si="1"/>
        <v>1.1628516234686677E-3</v>
      </c>
      <c r="K24" s="3"/>
      <c r="L24" s="8">
        <f t="shared" si="2"/>
        <v>-7.1486937461538034</v>
      </c>
      <c r="M24" s="3"/>
      <c r="N24" s="7">
        <f t="shared" si="3"/>
        <v>-0.17164268799700291</v>
      </c>
      <c r="O24" s="12"/>
      <c r="P24" s="8">
        <v>264.56</v>
      </c>
      <c r="Q24" s="3"/>
      <c r="R24" s="7">
        <f t="shared" si="4"/>
        <v>7.635253305935388E-4</v>
      </c>
      <c r="S24" s="3"/>
      <c r="T24" s="8">
        <v>359.28330152884598</v>
      </c>
      <c r="U24" s="3"/>
      <c r="V24" s="7">
        <f t="shared" si="5"/>
        <v>8.1047074348603433E-4</v>
      </c>
      <c r="W24" s="3"/>
      <c r="X24" s="8">
        <f t="shared" si="6"/>
        <v>-94.72330152884598</v>
      </c>
      <c r="Y24" s="3"/>
      <c r="Z24" s="7">
        <f t="shared" si="7"/>
        <v>-0.26364515446660935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630.69000000000005</v>
      </c>
      <c r="E25" s="3"/>
      <c r="F25" s="7">
        <f t="shared" si="0"/>
        <v>1.8099870856650883E-2</v>
      </c>
      <c r="G25" s="3"/>
      <c r="H25" s="8">
        <v>576.92767246153903</v>
      </c>
      <c r="I25" s="3"/>
      <c r="J25" s="7">
        <f t="shared" si="1"/>
        <v>1.6108098963076252E-2</v>
      </c>
      <c r="K25" s="3"/>
      <c r="L25" s="8">
        <f t="shared" si="2"/>
        <v>53.762327538461022</v>
      </c>
      <c r="M25" s="3"/>
      <c r="N25" s="7">
        <f t="shared" si="3"/>
        <v>9.3187292107305003E-2</v>
      </c>
      <c r="O25" s="12"/>
      <c r="P25" s="8">
        <v>5100.42</v>
      </c>
      <c r="Q25" s="3"/>
      <c r="R25" s="7">
        <f t="shared" si="4"/>
        <v>1.4719911803242731E-2</v>
      </c>
      <c r="S25" s="3"/>
      <c r="T25" s="8">
        <v>5048.1171340384699</v>
      </c>
      <c r="U25" s="3"/>
      <c r="V25" s="7">
        <f t="shared" si="5"/>
        <v>1.1387535210846038E-2</v>
      </c>
      <c r="W25" s="3"/>
      <c r="X25" s="8">
        <f t="shared" si="6"/>
        <v>52.302865961530188</v>
      </c>
      <c r="Y25" s="3"/>
      <c r="Z25" s="7">
        <f t="shared" si="7"/>
        <v>1.0360866155197183E-2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>
        <v>215.15</v>
      </c>
      <c r="Q27" s="3"/>
      <c r="R27" s="7">
        <f t="shared" si="4"/>
        <v>6.2092710491835456E-4</v>
      </c>
      <c r="S27" s="3"/>
      <c r="T27" s="8"/>
      <c r="U27" s="3"/>
      <c r="V27" s="7">
        <f t="shared" si="5"/>
        <v>0</v>
      </c>
      <c r="W27" s="3"/>
      <c r="X27" s="8">
        <f t="shared" si="6"/>
        <v>215.15</v>
      </c>
      <c r="Y27" s="3"/>
      <c r="Z27" s="7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8">
        <v>1219.74</v>
      </c>
      <c r="E28" s="3"/>
      <c r="F28" s="7">
        <f t="shared" si="0"/>
        <v>3.500473525613431E-2</v>
      </c>
      <c r="G28" s="3"/>
      <c r="H28" s="8">
        <v>201.25383923076899</v>
      </c>
      <c r="I28" s="3"/>
      <c r="J28" s="7">
        <f t="shared" si="1"/>
        <v>5.6191042894451915E-3</v>
      </c>
      <c r="K28" s="3"/>
      <c r="L28" s="8">
        <f t="shared" si="2"/>
        <v>1018.486160769231</v>
      </c>
      <c r="M28" s="3"/>
      <c r="N28" s="7">
        <f t="shared" si="3"/>
        <v>5.0607042561875177</v>
      </c>
      <c r="O28" s="12"/>
      <c r="P28" s="8">
        <v>5351.39</v>
      </c>
      <c r="Q28" s="3"/>
      <c r="R28" s="7">
        <f t="shared" si="4"/>
        <v>1.5444216128231622E-2</v>
      </c>
      <c r="S28" s="3"/>
      <c r="T28" s="8">
        <v>1760.9710932692301</v>
      </c>
      <c r="U28" s="3"/>
      <c r="V28" s="7">
        <f t="shared" si="5"/>
        <v>3.9723960037834931E-3</v>
      </c>
      <c r="W28" s="3"/>
      <c r="X28" s="8">
        <f t="shared" si="6"/>
        <v>3590.4189067307702</v>
      </c>
      <c r="Y28" s="3"/>
      <c r="Z28" s="7">
        <f t="shared" si="7"/>
        <v>2.0388857718641953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8">
        <v>1594.65</v>
      </c>
      <c r="E29" s="3"/>
      <c r="F29" s="7">
        <f t="shared" si="0"/>
        <v>4.5764098148945331E-2</v>
      </c>
      <c r="G29" s="3"/>
      <c r="H29" s="8">
        <v>527.89672615384598</v>
      </c>
      <c r="I29" s="3"/>
      <c r="J29" s="7">
        <f t="shared" si="1"/>
        <v>1.4739131286404009E-2</v>
      </c>
      <c r="K29" s="3"/>
      <c r="L29" s="8">
        <f t="shared" si="2"/>
        <v>1066.7532738461541</v>
      </c>
      <c r="M29" s="3"/>
      <c r="N29" s="7">
        <f t="shared" si="3"/>
        <v>2.0207612985560894</v>
      </c>
      <c r="O29" s="12"/>
      <c r="P29" s="8">
        <v>4208.55</v>
      </c>
      <c r="Q29" s="3"/>
      <c r="R29" s="7">
        <f t="shared" si="4"/>
        <v>1.2145957552424546E-2</v>
      </c>
      <c r="S29" s="3"/>
      <c r="T29" s="8">
        <v>4545.6282288461498</v>
      </c>
      <c r="U29" s="3"/>
      <c r="V29" s="7">
        <f t="shared" si="5"/>
        <v>1.0254021477110751E-2</v>
      </c>
      <c r="W29" s="3"/>
      <c r="X29" s="8">
        <f t="shared" si="6"/>
        <v>-337.07822884614961</v>
      </c>
      <c r="Y29" s="3"/>
      <c r="Z29" s="7">
        <f t="shared" si="7"/>
        <v>-7.4154376881743506E-2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8">
        <v>73.75</v>
      </c>
      <c r="E30" s="3"/>
      <c r="F30" s="7">
        <f t="shared" si="0"/>
        <v>2.1165159994260296E-3</v>
      </c>
      <c r="G30" s="3"/>
      <c r="H30" s="8"/>
      <c r="I30" s="3"/>
      <c r="J30" s="7">
        <f t="shared" si="1"/>
        <v>0</v>
      </c>
      <c r="K30" s="3"/>
      <c r="L30" s="8">
        <f t="shared" si="2"/>
        <v>73.75</v>
      </c>
      <c r="M30" s="3"/>
      <c r="N30" s="7">
        <f t="shared" si="3"/>
        <v>0</v>
      </c>
      <c r="O30" s="12"/>
      <c r="P30" s="8">
        <v>502.5</v>
      </c>
      <c r="Q30" s="3"/>
      <c r="R30" s="7">
        <f t="shared" si="4"/>
        <v>1.4502248209224873E-3</v>
      </c>
      <c r="S30" s="3"/>
      <c r="T30" s="8"/>
      <c r="U30" s="3"/>
      <c r="V30" s="7">
        <f t="shared" si="5"/>
        <v>0</v>
      </c>
      <c r="W30" s="3"/>
      <c r="X30" s="8">
        <f t="shared" si="6"/>
        <v>502.5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13747.22</v>
      </c>
      <c r="E31" s="2"/>
      <c r="F31" s="6">
        <f t="shared" si="0"/>
        <v>0.39452489596785761</v>
      </c>
      <c r="G31" s="2"/>
      <c r="H31" s="2">
        <f>SUM(OSRRefH22_1x_0)</f>
        <v>19497.288242307688</v>
      </c>
      <c r="I31" s="2"/>
      <c r="J31" s="6">
        <f t="shared" si="1"/>
        <v>0.5443736945026717</v>
      </c>
      <c r="K31" s="2"/>
      <c r="L31" s="2">
        <f t="shared" si="2"/>
        <v>-5750.0682423076887</v>
      </c>
      <c r="M31" s="2"/>
      <c r="N31" s="6">
        <f t="shared" si="3"/>
        <v>-0.29491630686520098</v>
      </c>
      <c r="O31" s="14"/>
      <c r="P31" s="2">
        <f>SUM(OSRRefP22_1x_0)</f>
        <v>117059.17000000001</v>
      </c>
      <c r="Q31" s="2"/>
      <c r="R31" s="6">
        <f t="shared" si="4"/>
        <v>0.33783505243897516</v>
      </c>
      <c r="S31" s="2"/>
      <c r="T31" s="2">
        <f>SUM(OSRRefT22_1x_0)</f>
        <v>168152.3346201923</v>
      </c>
      <c r="U31" s="2"/>
      <c r="V31" s="6">
        <f t="shared" si="5"/>
        <v>0.37931778927275828</v>
      </c>
      <c r="W31" s="2"/>
      <c r="X31" s="2">
        <f t="shared" si="6"/>
        <v>-51093.164620192285</v>
      </c>
      <c r="Y31" s="2"/>
      <c r="Z31" s="6">
        <f t="shared" si="7"/>
        <v>-0.30385046235365704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8">
        <v>4426.34</v>
      </c>
      <c r="E32" s="3"/>
      <c r="F32" s="7">
        <f t="shared" si="0"/>
        <v>0.12702941598507678</v>
      </c>
      <c r="G32" s="3"/>
      <c r="H32" s="8">
        <v>4139.8076923076896</v>
      </c>
      <c r="I32" s="3"/>
      <c r="J32" s="7">
        <f t="shared" si="1"/>
        <v>0.11558542808542802</v>
      </c>
      <c r="K32" s="3"/>
      <c r="L32" s="8">
        <f t="shared" si="2"/>
        <v>286.5323076923105</v>
      </c>
      <c r="M32" s="3"/>
      <c r="N32" s="7">
        <f t="shared" si="3"/>
        <v>6.9213917406048944E-2</v>
      </c>
      <c r="O32" s="12"/>
      <c r="P32" s="8">
        <v>38117.57</v>
      </c>
      <c r="Q32" s="3"/>
      <c r="R32" s="7">
        <f t="shared" si="4"/>
        <v>0.11000805199452811</v>
      </c>
      <c r="S32" s="3"/>
      <c r="T32" s="8">
        <v>36223.317307692298</v>
      </c>
      <c r="U32" s="3"/>
      <c r="V32" s="7">
        <f t="shared" si="5"/>
        <v>8.1712505938823413E-2</v>
      </c>
      <c r="W32" s="3"/>
      <c r="X32" s="8">
        <f t="shared" si="6"/>
        <v>1894.2526923077021</v>
      </c>
      <c r="Y32" s="3"/>
      <c r="Z32" s="7">
        <f t="shared" si="7"/>
        <v>5.2293738759962856E-2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1700</v>
      </c>
      <c r="E33" s="3"/>
      <c r="F33" s="7">
        <f t="shared" si="0"/>
        <v>4.8787487444396614E-2</v>
      </c>
      <c r="G33" s="3"/>
      <c r="H33" s="8">
        <v>2233.2305500000002</v>
      </c>
      <c r="I33" s="3"/>
      <c r="J33" s="7">
        <f t="shared" si="1"/>
        <v>6.2352874413669872E-2</v>
      </c>
      <c r="K33" s="3"/>
      <c r="L33" s="8">
        <f t="shared" si="2"/>
        <v>-533.23055000000022</v>
      </c>
      <c r="M33" s="3"/>
      <c r="N33" s="7">
        <f t="shared" si="3"/>
        <v>-0.23877093656989432</v>
      </c>
      <c r="O33" s="12"/>
      <c r="P33" s="8">
        <v>14952.57</v>
      </c>
      <c r="Q33" s="3"/>
      <c r="R33" s="7">
        <f t="shared" si="4"/>
        <v>4.3153409254887476E-2</v>
      </c>
      <c r="S33" s="3"/>
      <c r="T33" s="8">
        <v>19540.7673125</v>
      </c>
      <c r="U33" s="3"/>
      <c r="V33" s="7">
        <f t="shared" si="5"/>
        <v>4.4080034180987229E-2</v>
      </c>
      <c r="W33" s="3"/>
      <c r="X33" s="8">
        <f t="shared" si="6"/>
        <v>-4588.1973125000004</v>
      </c>
      <c r="Y33" s="3"/>
      <c r="Z33" s="7">
        <f t="shared" si="7"/>
        <v>-0.23480128692617838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8">
        <v>1486.34</v>
      </c>
      <c r="E35" s="3"/>
      <c r="F35" s="7">
        <f t="shared" si="0"/>
        <v>4.2655761228296743E-2</v>
      </c>
      <c r="G35" s="3"/>
      <c r="H35" s="8">
        <v>2088</v>
      </c>
      <c r="I35" s="3"/>
      <c r="J35" s="7">
        <f t="shared" si="1"/>
        <v>5.8297967388876479E-2</v>
      </c>
      <c r="K35" s="3"/>
      <c r="L35" s="8">
        <f t="shared" si="2"/>
        <v>-601.66000000000008</v>
      </c>
      <c r="M35" s="3"/>
      <c r="N35" s="7">
        <f t="shared" si="3"/>
        <v>-0.28815134099616863</v>
      </c>
      <c r="O35" s="12"/>
      <c r="P35" s="8">
        <v>10497.24</v>
      </c>
      <c r="Q35" s="3"/>
      <c r="R35" s="7">
        <f t="shared" si="4"/>
        <v>3.029523979936392E-2</v>
      </c>
      <c r="S35" s="3"/>
      <c r="T35" s="8">
        <v>17748</v>
      </c>
      <c r="U35" s="3"/>
      <c r="V35" s="7">
        <f t="shared" si="5"/>
        <v>4.0035912312599536E-2</v>
      </c>
      <c r="W35" s="3"/>
      <c r="X35" s="8">
        <f t="shared" si="6"/>
        <v>-7250.76</v>
      </c>
      <c r="Y35" s="3"/>
      <c r="Z35" s="7">
        <f t="shared" si="7"/>
        <v>-0.40853955375253553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8">
        <v>5369.89</v>
      </c>
      <c r="E36" s="3"/>
      <c r="F36" s="7">
        <f t="shared" si="0"/>
        <v>0.15410790644281822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5369.89</v>
      </c>
      <c r="M36" s="3"/>
      <c r="N36" s="7">
        <f t="shared" si="3"/>
        <v>0</v>
      </c>
      <c r="O36" s="12"/>
      <c r="P36" s="8">
        <v>45635.19</v>
      </c>
      <c r="Q36" s="3"/>
      <c r="R36" s="7">
        <f t="shared" si="4"/>
        <v>0.13170405023982823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45635.19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764.65</v>
      </c>
      <c r="E38" s="3"/>
      <c r="F38" s="7">
        <f t="shared" si="0"/>
        <v>2.1944324867269334E-2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764.65</v>
      </c>
      <c r="M38" s="3"/>
      <c r="N38" s="7">
        <f t="shared" si="3"/>
        <v>0</v>
      </c>
      <c r="O38" s="12"/>
      <c r="P38" s="8">
        <v>7692.38</v>
      </c>
      <c r="Q38" s="3"/>
      <c r="R38" s="7">
        <f t="shared" si="4"/>
        <v>2.2200359020831291E-2</v>
      </c>
      <c r="S38" s="3"/>
      <c r="T38" s="8">
        <v>25987.5</v>
      </c>
      <c r="U38" s="3"/>
      <c r="V38" s="7">
        <f t="shared" si="5"/>
        <v>5.8622564301537103E-2</v>
      </c>
      <c r="W38" s="3"/>
      <c r="X38" s="8">
        <f t="shared" si="6"/>
        <v>-18295.12</v>
      </c>
      <c r="Y38" s="3"/>
      <c r="Z38" s="7">
        <f t="shared" si="7"/>
        <v>-0.70399692159692151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/>
      <c r="E39" s="3"/>
      <c r="F39" s="7">
        <f t="shared" si="0"/>
        <v>0</v>
      </c>
      <c r="G39" s="3"/>
      <c r="H39" s="8">
        <v>11036.25</v>
      </c>
      <c r="I39" s="3"/>
      <c r="J39" s="7">
        <f t="shared" si="1"/>
        <v>0.30813742461469734</v>
      </c>
      <c r="K39" s="3"/>
      <c r="L39" s="8">
        <f t="shared" si="2"/>
        <v>-11036.25</v>
      </c>
      <c r="M39" s="3"/>
      <c r="N39" s="7">
        <f t="shared" si="3"/>
        <v>-1</v>
      </c>
      <c r="O39" s="12"/>
      <c r="P39" s="8">
        <v>164.22</v>
      </c>
      <c r="Q39" s="3"/>
      <c r="R39" s="7">
        <f t="shared" si="4"/>
        <v>4.7394212953610123E-4</v>
      </c>
      <c r="S39" s="3"/>
      <c r="T39" s="8">
        <v>68652.75</v>
      </c>
      <c r="U39" s="3"/>
      <c r="V39" s="7">
        <f t="shared" si="5"/>
        <v>0.15486677253881101</v>
      </c>
      <c r="W39" s="3"/>
      <c r="X39" s="8">
        <f t="shared" si="6"/>
        <v>-68488.53</v>
      </c>
      <c r="Y39" s="3"/>
      <c r="Z39" s="7">
        <f t="shared" si="7"/>
        <v>-0.99760796180779354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100</v>
      </c>
      <c r="I42" s="2"/>
      <c r="J42" s="6">
        <f t="shared" si="1"/>
        <v>2.7920482465937013E-3</v>
      </c>
      <c r="K42" s="2"/>
      <c r="L42" s="2">
        <f t="shared" si="2"/>
        <v>-100</v>
      </c>
      <c r="M42" s="2"/>
      <c r="N42" s="6">
        <f t="shared" si="3"/>
        <v>-1</v>
      </c>
      <c r="O42" s="14"/>
      <c r="P42" s="2">
        <f>SUM(OSRRefP22_2x_0)</f>
        <v>112.46</v>
      </c>
      <c r="Q42" s="2"/>
      <c r="R42" s="6">
        <f t="shared" si="4"/>
        <v>3.245617579322247E-4</v>
      </c>
      <c r="S42" s="2"/>
      <c r="T42" s="2">
        <f>SUM(OSRRefT22_2x_0)</f>
        <v>800</v>
      </c>
      <c r="U42" s="2"/>
      <c r="V42" s="6">
        <f t="shared" si="5"/>
        <v>1.8046388240973421E-3</v>
      </c>
      <c r="W42" s="2"/>
      <c r="X42" s="2">
        <f t="shared" si="6"/>
        <v>-687.54</v>
      </c>
      <c r="Y42" s="2"/>
      <c r="Z42" s="6">
        <f t="shared" si="7"/>
        <v>-0.85942499999999999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8"/>
      <c r="E43" s="3"/>
      <c r="F43" s="7">
        <f t="shared" si="0"/>
        <v>0</v>
      </c>
      <c r="G43" s="3"/>
      <c r="H43" s="8">
        <v>100</v>
      </c>
      <c r="I43" s="3"/>
      <c r="J43" s="7">
        <f t="shared" si="1"/>
        <v>2.7920482465937013E-3</v>
      </c>
      <c r="K43" s="3"/>
      <c r="L43" s="8">
        <f t="shared" si="2"/>
        <v>-100</v>
      </c>
      <c r="M43" s="3"/>
      <c r="N43" s="7">
        <f t="shared" si="3"/>
        <v>-1</v>
      </c>
      <c r="O43" s="12"/>
      <c r="P43" s="8">
        <v>112.46</v>
      </c>
      <c r="Q43" s="3"/>
      <c r="R43" s="7">
        <f t="shared" si="4"/>
        <v>3.245617579322247E-4</v>
      </c>
      <c r="S43" s="3"/>
      <c r="T43" s="8">
        <v>800</v>
      </c>
      <c r="U43" s="3"/>
      <c r="V43" s="7">
        <f t="shared" si="5"/>
        <v>1.8046388240973421E-3</v>
      </c>
      <c r="W43" s="3"/>
      <c r="X43" s="8">
        <f t="shared" si="6"/>
        <v>-687.54</v>
      </c>
      <c r="Y43" s="3"/>
      <c r="Z43" s="7">
        <f t="shared" si="7"/>
        <v>-0.85942499999999999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871.71</v>
      </c>
      <c r="E44" s="2"/>
      <c r="F44" s="6">
        <f t="shared" si="0"/>
        <v>2.5016788635385277E-2</v>
      </c>
      <c r="G44" s="2"/>
      <c r="H44" s="2">
        <f>SUM(OSRRefH22_3x_0)</f>
        <v>1250</v>
      </c>
      <c r="I44" s="2"/>
      <c r="J44" s="6">
        <f t="shared" si="1"/>
        <v>3.4900603082421267E-2</v>
      </c>
      <c r="K44" s="2"/>
      <c r="L44" s="2">
        <f t="shared" si="2"/>
        <v>-378.28999999999996</v>
      </c>
      <c r="M44" s="2"/>
      <c r="N44" s="6">
        <f t="shared" si="3"/>
        <v>-0.30263199999999996</v>
      </c>
      <c r="O44" s="14"/>
      <c r="P44" s="2">
        <f>SUM(OSRRefP22_3x_0)</f>
        <v>2772.18</v>
      </c>
      <c r="Q44" s="2"/>
      <c r="R44" s="6">
        <f t="shared" si="4"/>
        <v>8.0005656598306479E-3</v>
      </c>
      <c r="S44" s="2"/>
      <c r="T44" s="2">
        <f>SUM(OSRRefT22_3x_0)</f>
        <v>10000</v>
      </c>
      <c r="U44" s="2"/>
      <c r="V44" s="6">
        <f t="shared" si="5"/>
        <v>2.2557985301216776E-2</v>
      </c>
      <c r="W44" s="2"/>
      <c r="X44" s="2">
        <f t="shared" si="6"/>
        <v>-7227.82</v>
      </c>
      <c r="Y44" s="2"/>
      <c r="Z44" s="6">
        <f t="shared" si="7"/>
        <v>-0.72278199999999992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8">
        <v>871.71</v>
      </c>
      <c r="E45" s="3"/>
      <c r="F45" s="7">
        <f t="shared" si="0"/>
        <v>2.5016788635385277E-2</v>
      </c>
      <c r="G45" s="3"/>
      <c r="H45" s="8">
        <v>1250</v>
      </c>
      <c r="I45" s="3"/>
      <c r="J45" s="7">
        <f t="shared" si="1"/>
        <v>3.4900603082421267E-2</v>
      </c>
      <c r="K45" s="3"/>
      <c r="L45" s="8">
        <f t="shared" si="2"/>
        <v>-378.28999999999996</v>
      </c>
      <c r="M45" s="3"/>
      <c r="N45" s="7">
        <f t="shared" si="3"/>
        <v>-0.30263199999999996</v>
      </c>
      <c r="O45" s="12"/>
      <c r="P45" s="8">
        <v>2772.18</v>
      </c>
      <c r="Q45" s="3"/>
      <c r="R45" s="7">
        <f t="shared" si="4"/>
        <v>8.0005656598306479E-3</v>
      </c>
      <c r="S45" s="3"/>
      <c r="T45" s="8">
        <v>10000</v>
      </c>
      <c r="U45" s="3"/>
      <c r="V45" s="7">
        <f t="shared" si="5"/>
        <v>2.2557985301216776E-2</v>
      </c>
      <c r="W45" s="3"/>
      <c r="X45" s="8">
        <f t="shared" si="6"/>
        <v>-7227.82</v>
      </c>
      <c r="Y45" s="3"/>
      <c r="Z45" s="7">
        <f t="shared" si="7"/>
        <v>-0.72278199999999992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5.5840964931874021E-4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160</v>
      </c>
      <c r="U46" s="2"/>
      <c r="V46" s="6">
        <f t="shared" si="5"/>
        <v>3.6092776481946843E-4</v>
      </c>
      <c r="W46" s="2"/>
      <c r="X46" s="2">
        <f t="shared" si="6"/>
        <v>-160</v>
      </c>
      <c r="Y46" s="2"/>
      <c r="Z46" s="6">
        <f t="shared" si="7"/>
        <v>-1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>
        <v>20</v>
      </c>
      <c r="I47" s="3"/>
      <c r="J47" s="7">
        <f t="shared" si="1"/>
        <v>5.5840964931874021E-4</v>
      </c>
      <c r="K47" s="3"/>
      <c r="L47" s="8">
        <f t="shared" si="2"/>
        <v>-20</v>
      </c>
      <c r="M47" s="3"/>
      <c r="N47" s="7">
        <f t="shared" si="3"/>
        <v>-1</v>
      </c>
      <c r="O47" s="12"/>
      <c r="P47" s="8"/>
      <c r="Q47" s="3"/>
      <c r="R47" s="7">
        <f t="shared" si="4"/>
        <v>0</v>
      </c>
      <c r="S47" s="3"/>
      <c r="T47" s="8">
        <v>160</v>
      </c>
      <c r="U47" s="3"/>
      <c r="V47" s="7">
        <f t="shared" si="5"/>
        <v>3.6092776481946843E-4</v>
      </c>
      <c r="W47" s="3"/>
      <c r="X47" s="8">
        <f t="shared" si="6"/>
        <v>-160</v>
      </c>
      <c r="Y47" s="3"/>
      <c r="Z47" s="7">
        <f t="shared" si="7"/>
        <v>-1</v>
      </c>
    </row>
    <row r="48" spans="1:26" s="69" customFormat="1" ht="15" customHeight="1" outlineLevel="1" collapsed="1" x14ac:dyDescent="0.3">
      <c r="A48" s="25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2.7920482465937011E-4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1.7893321173570988E-6</v>
      </c>
      <c r="S48" s="2"/>
      <c r="T48" s="2">
        <f>SUM(OSRRefT22_5x_0)</f>
        <v>80</v>
      </c>
      <c r="U48" s="2"/>
      <c r="V48" s="6">
        <f t="shared" si="5"/>
        <v>1.8046388240973421E-4</v>
      </c>
      <c r="W48" s="2"/>
      <c r="X48" s="2">
        <f t="shared" si="6"/>
        <v>-79.38</v>
      </c>
      <c r="Y48" s="2"/>
      <c r="Z48" s="6">
        <f t="shared" si="7"/>
        <v>-0.99224999999999997</v>
      </c>
    </row>
    <row r="49" spans="1:26" s="70" customFormat="1" ht="15" hidden="1" customHeight="1" outlineLevel="2" x14ac:dyDescent="0.3">
      <c r="A49" s="26"/>
      <c r="B49" s="12" t="str">
        <f>CONCATENATE("          ","6305"," - ","FREIGHT OUT")</f>
        <v xml:space="preserve">          6305 - FREIGHT OUT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0.62</v>
      </c>
      <c r="Q49" s="3"/>
      <c r="R49" s="7">
        <f t="shared" si="4"/>
        <v>1.7893321173570988E-6</v>
      </c>
      <c r="S49" s="3"/>
      <c r="T49" s="8"/>
      <c r="U49" s="3"/>
      <c r="V49" s="7">
        <f t="shared" si="5"/>
        <v>0</v>
      </c>
      <c r="W49" s="3"/>
      <c r="X49" s="8">
        <f t="shared" si="6"/>
        <v>0.62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","6307"," - ","POSTAGE")</f>
        <v xml:space="preserve">          6307 - POSTAGE</v>
      </c>
      <c r="C50" s="12"/>
      <c r="D50" s="8"/>
      <c r="E50" s="3"/>
      <c r="F50" s="7">
        <f t="shared" si="0"/>
        <v>0</v>
      </c>
      <c r="G50" s="3"/>
      <c r="H50" s="8">
        <v>10</v>
      </c>
      <c r="I50" s="3"/>
      <c r="J50" s="7">
        <f t="shared" si="1"/>
        <v>2.7920482465937011E-4</v>
      </c>
      <c r="K50" s="3"/>
      <c r="L50" s="8">
        <f t="shared" si="2"/>
        <v>-10</v>
      </c>
      <c r="M50" s="3"/>
      <c r="N50" s="7">
        <f t="shared" si="3"/>
        <v>-1</v>
      </c>
      <c r="O50" s="12"/>
      <c r="P50" s="8"/>
      <c r="Q50" s="3"/>
      <c r="R50" s="7">
        <f t="shared" si="4"/>
        <v>0</v>
      </c>
      <c r="S50" s="3"/>
      <c r="T50" s="8">
        <v>80</v>
      </c>
      <c r="U50" s="3"/>
      <c r="V50" s="7">
        <f t="shared" si="5"/>
        <v>1.8046388240973421E-4</v>
      </c>
      <c r="W50" s="3"/>
      <c r="X50" s="8">
        <f t="shared" si="6"/>
        <v>-80</v>
      </c>
      <c r="Y50" s="3"/>
      <c r="Z50" s="7">
        <f t="shared" si="7"/>
        <v>-1</v>
      </c>
    </row>
    <row r="51" spans="1:26" s="69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1.3960241232968506E-3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400</v>
      </c>
      <c r="U51" s="2"/>
      <c r="V51" s="6">
        <f t="shared" ref="V51:V70" si="13">IF(T$12=0,0,T51/T$12)</f>
        <v>9.0231941204867107E-4</v>
      </c>
      <c r="W51" s="2"/>
      <c r="X51" s="2">
        <f t="shared" ref="X51:X70" si="14">+P51-T51</f>
        <v>-400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8"/>
        <v>0</v>
      </c>
      <c r="G52" s="3"/>
      <c r="H52" s="8">
        <v>50</v>
      </c>
      <c r="I52" s="3"/>
      <c r="J52" s="7">
        <f t="shared" si="9"/>
        <v>1.3960241232968506E-3</v>
      </c>
      <c r="K52" s="3"/>
      <c r="L52" s="8">
        <f t="shared" si="10"/>
        <v>-50</v>
      </c>
      <c r="M52" s="3"/>
      <c r="N52" s="7">
        <f t="shared" si="11"/>
        <v>-1</v>
      </c>
      <c r="O52" s="12"/>
      <c r="P52" s="8"/>
      <c r="Q52" s="3"/>
      <c r="R52" s="7">
        <f t="shared" si="12"/>
        <v>0</v>
      </c>
      <c r="S52" s="3"/>
      <c r="T52" s="8">
        <v>400</v>
      </c>
      <c r="U52" s="3"/>
      <c r="V52" s="7">
        <f t="shared" si="13"/>
        <v>9.0231941204867107E-4</v>
      </c>
      <c r="W52" s="3"/>
      <c r="X52" s="8">
        <f t="shared" si="14"/>
        <v>-400</v>
      </c>
      <c r="Y52" s="3"/>
      <c r="Z52" s="7">
        <f t="shared" si="15"/>
        <v>-1</v>
      </c>
    </row>
    <row r="53" spans="1:26" s="69" customFormat="1" ht="15" customHeight="1" outlineLevel="1" collapsed="1" x14ac:dyDescent="0.3">
      <c r="A53" s="25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1.1315827234897402E-3</v>
      </c>
      <c r="G53" s="2"/>
      <c r="H53" s="2">
        <f>SUM(OSRRefH22_7x_0)</f>
        <v>40</v>
      </c>
      <c r="I53" s="2"/>
      <c r="J53" s="6">
        <f t="shared" si="9"/>
        <v>1.1168192986374804E-3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315.44</v>
      </c>
      <c r="Q53" s="2"/>
      <c r="R53" s="6">
        <f t="shared" si="12"/>
        <v>9.1036600499858587E-4</v>
      </c>
      <c r="S53" s="2"/>
      <c r="T53" s="2">
        <f>SUM(OSRRefT22_7x_0)</f>
        <v>320</v>
      </c>
      <c r="U53" s="2"/>
      <c r="V53" s="6">
        <f t="shared" si="13"/>
        <v>7.2185552963893685E-4</v>
      </c>
      <c r="W53" s="2"/>
      <c r="X53" s="2">
        <f t="shared" si="14"/>
        <v>-4.5600000000000023</v>
      </c>
      <c r="Y53" s="2"/>
      <c r="Z53" s="6">
        <f t="shared" si="15"/>
        <v>-1.4250000000000007E-2</v>
      </c>
    </row>
    <row r="54" spans="1:26" s="70" customFormat="1" ht="15" hidden="1" customHeight="1" outlineLevel="2" x14ac:dyDescent="0.3">
      <c r="A54" s="26"/>
      <c r="B54" s="12" t="str">
        <f>CONCATENATE("          ","6314"," - ","LIABILITY INSURANCE")</f>
        <v xml:space="preserve">          6314 - LIABILITY INSURANCE</v>
      </c>
      <c r="C54" s="12"/>
      <c r="D54" s="8">
        <v>39.43</v>
      </c>
      <c r="E54" s="3"/>
      <c r="F54" s="7">
        <f t="shared" si="8"/>
        <v>1.1315827234897402E-3</v>
      </c>
      <c r="G54" s="3"/>
      <c r="H54" s="8">
        <v>40</v>
      </c>
      <c r="I54" s="3"/>
      <c r="J54" s="7">
        <f t="shared" si="9"/>
        <v>1.1168192986374804E-3</v>
      </c>
      <c r="K54" s="3"/>
      <c r="L54" s="8">
        <f t="shared" si="10"/>
        <v>-0.57000000000000028</v>
      </c>
      <c r="M54" s="3"/>
      <c r="N54" s="7">
        <f t="shared" si="11"/>
        <v>-1.4250000000000007E-2</v>
      </c>
      <c r="O54" s="12"/>
      <c r="P54" s="8">
        <v>315.44</v>
      </c>
      <c r="Q54" s="3"/>
      <c r="R54" s="7">
        <f t="shared" si="12"/>
        <v>9.1036600499858587E-4</v>
      </c>
      <c r="S54" s="3"/>
      <c r="T54" s="8">
        <v>320</v>
      </c>
      <c r="U54" s="3"/>
      <c r="V54" s="7">
        <f t="shared" si="13"/>
        <v>7.2185552963893685E-4</v>
      </c>
      <c r="W54" s="3"/>
      <c r="X54" s="8">
        <f t="shared" si="14"/>
        <v>-4.5600000000000023</v>
      </c>
      <c r="Y54" s="3"/>
      <c r="Z54" s="7">
        <f t="shared" si="15"/>
        <v>-1.4250000000000007E-2</v>
      </c>
    </row>
    <row r="55" spans="1:26" s="69" customFormat="1" ht="15" customHeight="1" outlineLevel="1" collapsed="1" x14ac:dyDescent="0.3">
      <c r="A55" s="25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2.2958817620892524E-2</v>
      </c>
      <c r="G55" s="2"/>
      <c r="H55" s="2">
        <f>SUM(OSRRefH22_8x_0)</f>
        <v>800</v>
      </c>
      <c r="I55" s="2"/>
      <c r="J55" s="6">
        <f t="shared" si="9"/>
        <v>2.233638597274961E-2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6400</v>
      </c>
      <c r="Q55" s="2"/>
      <c r="R55" s="6">
        <f t="shared" si="12"/>
        <v>1.8470525082395859E-2</v>
      </c>
      <c r="S55" s="2"/>
      <c r="T55" s="2">
        <f>SUM(OSRRefT22_8x_0)</f>
        <v>6400</v>
      </c>
      <c r="U55" s="2"/>
      <c r="V55" s="6">
        <f t="shared" si="13"/>
        <v>1.4437110592778737E-2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3">
      <c r="A56" s="26"/>
      <c r="B56" s="12" t="str">
        <f>CONCATENATE("          ","6273"," - ","RENT")</f>
        <v xml:space="preserve">          6273 - RENT</v>
      </c>
      <c r="C56" s="12"/>
      <c r="D56" s="8">
        <v>800</v>
      </c>
      <c r="E56" s="3"/>
      <c r="F56" s="7">
        <f t="shared" si="8"/>
        <v>2.2958817620892524E-2</v>
      </c>
      <c r="G56" s="3"/>
      <c r="H56" s="8">
        <v>800</v>
      </c>
      <c r="I56" s="3"/>
      <c r="J56" s="7">
        <f t="shared" si="9"/>
        <v>2.233638597274961E-2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6400</v>
      </c>
      <c r="Q56" s="3"/>
      <c r="R56" s="7">
        <f t="shared" si="12"/>
        <v>1.8470525082395859E-2</v>
      </c>
      <c r="S56" s="3"/>
      <c r="T56" s="8">
        <v>6400</v>
      </c>
      <c r="U56" s="3"/>
      <c r="V56" s="7">
        <f t="shared" si="13"/>
        <v>1.4437110592778737E-2</v>
      </c>
      <c r="W56" s="3"/>
      <c r="X56" s="8">
        <f t="shared" si="14"/>
        <v>0</v>
      </c>
      <c r="Y56" s="3"/>
      <c r="Z56" s="7">
        <f t="shared" si="15"/>
        <v>0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7583.7</v>
      </c>
      <c r="E57" s="2"/>
      <c r="F57" s="6">
        <f t="shared" si="8"/>
        <v>0.21764098148945329</v>
      </c>
      <c r="G57" s="2"/>
      <c r="H57" s="2">
        <f>SUM(OSRRefH22_9x_0)</f>
        <v>3200</v>
      </c>
      <c r="I57" s="2"/>
      <c r="J57" s="6">
        <f t="shared" si="9"/>
        <v>8.9345543890998441E-2</v>
      </c>
      <c r="K57" s="2"/>
      <c r="L57" s="2">
        <f t="shared" si="10"/>
        <v>4383.7</v>
      </c>
      <c r="M57" s="2"/>
      <c r="N57" s="6">
        <f t="shared" si="11"/>
        <v>1.3699062499999999</v>
      </c>
      <c r="O57" s="14"/>
      <c r="P57" s="2">
        <f>SUM(OSRRefP22_9x_0)</f>
        <v>131139.97</v>
      </c>
      <c r="Q57" s="2"/>
      <c r="R57" s="6">
        <f t="shared" si="12"/>
        <v>0.37847251643588131</v>
      </c>
      <c r="S57" s="2"/>
      <c r="T57" s="2">
        <f>SUM(OSRRefT22_9x_0)</f>
        <v>150600</v>
      </c>
      <c r="U57" s="2"/>
      <c r="V57" s="6">
        <f t="shared" si="13"/>
        <v>0.33972325863632469</v>
      </c>
      <c r="W57" s="2"/>
      <c r="X57" s="2">
        <f t="shared" si="14"/>
        <v>-19460.03</v>
      </c>
      <c r="Y57" s="2"/>
      <c r="Z57" s="6">
        <f t="shared" si="15"/>
        <v>-0.12921666666666665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8">
        <v>7583.7</v>
      </c>
      <c r="E58" s="3"/>
      <c r="F58" s="7">
        <f t="shared" si="8"/>
        <v>0.21764098148945329</v>
      </c>
      <c r="G58" s="3"/>
      <c r="H58" s="8"/>
      <c r="I58" s="3"/>
      <c r="J58" s="7">
        <f t="shared" si="9"/>
        <v>0</v>
      </c>
      <c r="K58" s="3"/>
      <c r="L58" s="8">
        <f t="shared" si="10"/>
        <v>7583.7</v>
      </c>
      <c r="M58" s="3"/>
      <c r="N58" s="7">
        <f t="shared" si="11"/>
        <v>0</v>
      </c>
      <c r="O58" s="12"/>
      <c r="P58" s="8">
        <v>7583.7</v>
      </c>
      <c r="Q58" s="3"/>
      <c r="R58" s="7">
        <f t="shared" si="12"/>
        <v>2.1886706416775852E-2</v>
      </c>
      <c r="S58" s="3"/>
      <c r="T58" s="8">
        <v>125000</v>
      </c>
      <c r="U58" s="3"/>
      <c r="V58" s="7">
        <f t="shared" si="13"/>
        <v>0.2819748162652097</v>
      </c>
      <c r="W58" s="3"/>
      <c r="X58" s="8">
        <f t="shared" si="14"/>
        <v>-117416.3</v>
      </c>
      <c r="Y58" s="3"/>
      <c r="Z58" s="7">
        <f t="shared" si="15"/>
        <v>-0.93933040000000001</v>
      </c>
    </row>
    <row r="59" spans="1:26" s="70" customFormat="1" ht="15" hidden="1" customHeight="1" outlineLevel="2" x14ac:dyDescent="0.3">
      <c r="A59" s="26"/>
      <c r="B59" s="12" t="str">
        <f>CONCATENATE("          ","6372"," - ","COMPUTER HARDWARE MAINTENANCE")</f>
        <v xml:space="preserve">          6372 - COMPUTER HARDWARE MAINTENANCE</v>
      </c>
      <c r="C59" s="12"/>
      <c r="D59" s="8"/>
      <c r="E59" s="3"/>
      <c r="F59" s="7">
        <f t="shared" si="8"/>
        <v>0</v>
      </c>
      <c r="G59" s="3"/>
      <c r="H59" s="8">
        <v>3200</v>
      </c>
      <c r="I59" s="3"/>
      <c r="J59" s="7">
        <f t="shared" si="9"/>
        <v>8.9345543890998441E-2</v>
      </c>
      <c r="K59" s="3"/>
      <c r="L59" s="8">
        <f t="shared" si="10"/>
        <v>-3200</v>
      </c>
      <c r="M59" s="3"/>
      <c r="N59" s="7">
        <f t="shared" si="11"/>
        <v>-1</v>
      </c>
      <c r="O59" s="12"/>
      <c r="P59" s="8">
        <v>1555.65</v>
      </c>
      <c r="Q59" s="3"/>
      <c r="R59" s="7">
        <f t="shared" si="12"/>
        <v>4.4896363038170496E-3</v>
      </c>
      <c r="S59" s="3"/>
      <c r="T59" s="8">
        <v>25600</v>
      </c>
      <c r="U59" s="3"/>
      <c r="V59" s="7">
        <f t="shared" si="13"/>
        <v>5.7748442371114948E-2</v>
      </c>
      <c r="W59" s="3"/>
      <c r="X59" s="8">
        <f t="shared" si="14"/>
        <v>-24044.35</v>
      </c>
      <c r="Y59" s="3"/>
      <c r="Z59" s="7">
        <f t="shared" si="15"/>
        <v>-0.93923242187499989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122000.62</v>
      </c>
      <c r="Q60" s="3"/>
      <c r="R60" s="7">
        <f t="shared" si="12"/>
        <v>0.3520961737152884</v>
      </c>
      <c r="S60" s="3"/>
      <c r="T60" s="8"/>
      <c r="U60" s="3"/>
      <c r="V60" s="7">
        <f t="shared" si="13"/>
        <v>0</v>
      </c>
      <c r="W60" s="3"/>
      <c r="X60" s="8">
        <f t="shared" si="14"/>
        <v>122000.62</v>
      </c>
      <c r="Y60" s="3"/>
      <c r="Z60" s="7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0</v>
      </c>
      <c r="E61" s="2"/>
      <c r="F61" s="6">
        <f t="shared" si="8"/>
        <v>0</v>
      </c>
      <c r="G61" s="2"/>
      <c r="H61" s="2">
        <f>SUM(OSRRefH22_10x_0)</f>
        <v>85</v>
      </c>
      <c r="I61" s="2"/>
      <c r="J61" s="6">
        <f t="shared" si="9"/>
        <v>2.373241009604646E-3</v>
      </c>
      <c r="K61" s="2"/>
      <c r="L61" s="2">
        <f t="shared" si="10"/>
        <v>-85</v>
      </c>
      <c r="M61" s="2"/>
      <c r="N61" s="6">
        <f t="shared" si="11"/>
        <v>-1</v>
      </c>
      <c r="O61" s="14"/>
      <c r="P61" s="2">
        <f>SUM(OSRRefP22_10x_0)</f>
        <v>0</v>
      </c>
      <c r="Q61" s="2"/>
      <c r="R61" s="6">
        <f t="shared" si="12"/>
        <v>0</v>
      </c>
      <c r="S61" s="2"/>
      <c r="T61" s="2">
        <f>SUM(OSRRefT22_10x_0)</f>
        <v>680</v>
      </c>
      <c r="U61" s="2"/>
      <c r="V61" s="6">
        <f t="shared" si="13"/>
        <v>1.5339430004827409E-3</v>
      </c>
      <c r="W61" s="2"/>
      <c r="X61" s="2">
        <f t="shared" si="14"/>
        <v>-680</v>
      </c>
      <c r="Y61" s="2"/>
      <c r="Z61" s="6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8"/>
      <c r="E62" s="3"/>
      <c r="F62" s="7">
        <f t="shared" si="8"/>
        <v>0</v>
      </c>
      <c r="G62" s="3"/>
      <c r="H62" s="8">
        <v>85</v>
      </c>
      <c r="I62" s="3"/>
      <c r="J62" s="7">
        <f t="shared" si="9"/>
        <v>2.373241009604646E-3</v>
      </c>
      <c r="K62" s="3"/>
      <c r="L62" s="8">
        <f t="shared" si="10"/>
        <v>-85</v>
      </c>
      <c r="M62" s="3"/>
      <c r="N62" s="7">
        <f t="shared" si="11"/>
        <v>-1</v>
      </c>
      <c r="O62" s="12"/>
      <c r="P62" s="8"/>
      <c r="Q62" s="3"/>
      <c r="R62" s="7">
        <f t="shared" si="12"/>
        <v>0</v>
      </c>
      <c r="S62" s="3"/>
      <c r="T62" s="8">
        <v>680</v>
      </c>
      <c r="U62" s="3"/>
      <c r="V62" s="7">
        <f t="shared" si="13"/>
        <v>1.5339430004827409E-3</v>
      </c>
      <c r="W62" s="3"/>
      <c r="X62" s="8">
        <f t="shared" si="14"/>
        <v>-680</v>
      </c>
      <c r="Y62" s="3"/>
      <c r="Z62" s="7">
        <f t="shared" si="15"/>
        <v>-1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1513.07</v>
      </c>
      <c r="E63" s="2"/>
      <c r="F63" s="6">
        <f t="shared" si="8"/>
        <v>4.3422872722054813E-2</v>
      </c>
      <c r="G63" s="2"/>
      <c r="H63" s="2">
        <f>SUM(OSRRefH22_11x_0)</f>
        <v>5800</v>
      </c>
      <c r="I63" s="2"/>
      <c r="J63" s="6">
        <f t="shared" si="9"/>
        <v>0.16193879830243466</v>
      </c>
      <c r="K63" s="2"/>
      <c r="L63" s="2">
        <f t="shared" si="10"/>
        <v>-4286.93</v>
      </c>
      <c r="M63" s="2"/>
      <c r="N63" s="6">
        <f t="shared" si="11"/>
        <v>-0.73912586206896558</v>
      </c>
      <c r="O63" s="14"/>
      <c r="P63" s="2">
        <f>SUM(OSRRefP22_11x_0)</f>
        <v>19591.280000000002</v>
      </c>
      <c r="Q63" s="2"/>
      <c r="R63" s="6">
        <f t="shared" si="12"/>
        <v>5.6540816974412558E-2</v>
      </c>
      <c r="S63" s="2"/>
      <c r="T63" s="2">
        <f>SUM(OSRRefT22_11x_0)</f>
        <v>46400</v>
      </c>
      <c r="U63" s="2"/>
      <c r="V63" s="6">
        <f t="shared" si="13"/>
        <v>0.10466905179764585</v>
      </c>
      <c r="W63" s="2"/>
      <c r="X63" s="2">
        <f t="shared" si="14"/>
        <v>-26808.719999999998</v>
      </c>
      <c r="Y63" s="2"/>
      <c r="Z63" s="6">
        <f t="shared" si="15"/>
        <v>-0.57777413793103438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8"/>
      <c r="E64" s="3"/>
      <c r="F64" s="7">
        <f t="shared" si="8"/>
        <v>0</v>
      </c>
      <c r="G64" s="3"/>
      <c r="H64" s="8">
        <v>5800</v>
      </c>
      <c r="I64" s="3"/>
      <c r="J64" s="7">
        <f t="shared" si="9"/>
        <v>0.16193879830243466</v>
      </c>
      <c r="K64" s="3"/>
      <c r="L64" s="8">
        <f t="shared" si="10"/>
        <v>-5800</v>
      </c>
      <c r="M64" s="3"/>
      <c r="N64" s="7">
        <f t="shared" si="11"/>
        <v>-1</v>
      </c>
      <c r="O64" s="12"/>
      <c r="P64" s="8"/>
      <c r="Q64" s="3"/>
      <c r="R64" s="7">
        <f t="shared" si="12"/>
        <v>0</v>
      </c>
      <c r="S64" s="3"/>
      <c r="T64" s="8">
        <v>46400</v>
      </c>
      <c r="U64" s="3"/>
      <c r="V64" s="7">
        <f t="shared" si="13"/>
        <v>0.10466905179764585</v>
      </c>
      <c r="W64" s="3"/>
      <c r="X64" s="8">
        <f t="shared" si="14"/>
        <v>-46400</v>
      </c>
      <c r="Y64" s="3"/>
      <c r="Z64" s="7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>
        <v>1513.07</v>
      </c>
      <c r="E65" s="3"/>
      <c r="F65" s="7">
        <f t="shared" si="8"/>
        <v>4.3422872722054813E-2</v>
      </c>
      <c r="G65" s="3"/>
      <c r="H65" s="8"/>
      <c r="I65" s="3"/>
      <c r="J65" s="7">
        <f t="shared" si="9"/>
        <v>0</v>
      </c>
      <c r="K65" s="3"/>
      <c r="L65" s="8">
        <f t="shared" si="10"/>
        <v>1513.07</v>
      </c>
      <c r="M65" s="3"/>
      <c r="N65" s="7">
        <f t="shared" si="11"/>
        <v>0</v>
      </c>
      <c r="O65" s="12"/>
      <c r="P65" s="8">
        <v>19574.740000000002</v>
      </c>
      <c r="Q65" s="3"/>
      <c r="R65" s="7">
        <f t="shared" si="12"/>
        <v>5.6493082211152741E-2</v>
      </c>
      <c r="S65" s="3"/>
      <c r="T65" s="8"/>
      <c r="U65" s="3"/>
      <c r="V65" s="7">
        <f t="shared" si="13"/>
        <v>0</v>
      </c>
      <c r="W65" s="3"/>
      <c r="X65" s="8">
        <f t="shared" si="14"/>
        <v>19574.740000000002</v>
      </c>
      <c r="Y65" s="3"/>
      <c r="Z65" s="7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16.54</v>
      </c>
      <c r="Q66" s="3"/>
      <c r="R66" s="7">
        <f t="shared" si="12"/>
        <v>4.7734763259816794E-5</v>
      </c>
      <c r="S66" s="3"/>
      <c r="T66" s="8"/>
      <c r="U66" s="3"/>
      <c r="V66" s="7">
        <f t="shared" si="13"/>
        <v>0</v>
      </c>
      <c r="W66" s="3"/>
      <c r="X66" s="8">
        <f t="shared" si="14"/>
        <v>16.54</v>
      </c>
      <c r="Y66" s="3"/>
      <c r="Z66" s="7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87.2</v>
      </c>
      <c r="E67" s="2"/>
      <c r="F67" s="6">
        <f t="shared" si="8"/>
        <v>2.5025111206772852E-3</v>
      </c>
      <c r="G67" s="2"/>
      <c r="H67" s="2">
        <f>SUM(OSRRefH22_12x_0)</f>
        <v>350</v>
      </c>
      <c r="I67" s="2"/>
      <c r="J67" s="6">
        <f t="shared" si="9"/>
        <v>9.7721688630779541E-3</v>
      </c>
      <c r="K67" s="2"/>
      <c r="L67" s="2">
        <f t="shared" si="10"/>
        <v>-262.8</v>
      </c>
      <c r="M67" s="2"/>
      <c r="N67" s="6">
        <f t="shared" si="11"/>
        <v>-0.75085714285714289</v>
      </c>
      <c r="O67" s="14"/>
      <c r="P67" s="2">
        <f>SUM(OSRRefP22_12x_0)</f>
        <v>280.2</v>
      </c>
      <c r="Q67" s="2"/>
      <c r="R67" s="6">
        <f t="shared" si="12"/>
        <v>8.0866267626364364E-4</v>
      </c>
      <c r="S67" s="2"/>
      <c r="T67" s="2">
        <f>SUM(OSRRefT22_12x_0)</f>
        <v>2800</v>
      </c>
      <c r="U67" s="2"/>
      <c r="V67" s="6">
        <f t="shared" si="13"/>
        <v>6.3162358843406978E-3</v>
      </c>
      <c r="W67" s="2"/>
      <c r="X67" s="2">
        <f t="shared" si="14"/>
        <v>-2519.8000000000002</v>
      </c>
      <c r="Y67" s="2"/>
      <c r="Z67" s="6">
        <f t="shared" si="15"/>
        <v>-0.89992857142857152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8">
        <v>87.2</v>
      </c>
      <c r="E68" s="3"/>
      <c r="F68" s="7">
        <f t="shared" si="8"/>
        <v>2.5025111206772852E-3</v>
      </c>
      <c r="G68" s="3"/>
      <c r="H68" s="8">
        <v>350</v>
      </c>
      <c r="I68" s="3"/>
      <c r="J68" s="7">
        <f t="shared" si="9"/>
        <v>9.7721688630779541E-3</v>
      </c>
      <c r="K68" s="3"/>
      <c r="L68" s="8">
        <f t="shared" si="10"/>
        <v>-262.8</v>
      </c>
      <c r="M68" s="3"/>
      <c r="N68" s="7">
        <f t="shared" si="11"/>
        <v>-0.75085714285714289</v>
      </c>
      <c r="O68" s="12"/>
      <c r="P68" s="8">
        <v>280.2</v>
      </c>
      <c r="Q68" s="3"/>
      <c r="R68" s="7">
        <f t="shared" si="12"/>
        <v>8.0866267626364364E-4</v>
      </c>
      <c r="S68" s="3"/>
      <c r="T68" s="8">
        <v>2800</v>
      </c>
      <c r="U68" s="3"/>
      <c r="V68" s="7">
        <f t="shared" si="13"/>
        <v>6.3162358843406978E-3</v>
      </c>
      <c r="W68" s="3"/>
      <c r="X68" s="8">
        <f t="shared" si="14"/>
        <v>-2519.8000000000002</v>
      </c>
      <c r="Y68" s="3"/>
      <c r="Z68" s="7">
        <f t="shared" si="15"/>
        <v>-0.89992857142857152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0</v>
      </c>
      <c r="I69" s="2"/>
      <c r="J69" s="6">
        <f t="shared" si="9"/>
        <v>0</v>
      </c>
      <c r="K69" s="2"/>
      <c r="L69" s="2">
        <f t="shared" si="10"/>
        <v>0</v>
      </c>
      <c r="M69" s="2"/>
      <c r="N69" s="6">
        <f t="shared" si="11"/>
        <v>0</v>
      </c>
      <c r="O69" s="14"/>
      <c r="P69" s="2">
        <f>SUM(OSRRefP22_13x_0)</f>
        <v>2000</v>
      </c>
      <c r="Q69" s="2"/>
      <c r="R69" s="6">
        <f t="shared" si="12"/>
        <v>5.7720390882487057E-3</v>
      </c>
      <c r="S69" s="2"/>
      <c r="T69" s="2">
        <f>SUM(OSRRefT22_13x_0)</f>
        <v>0</v>
      </c>
      <c r="U69" s="2"/>
      <c r="V69" s="6">
        <f t="shared" si="13"/>
        <v>0</v>
      </c>
      <c r="W69" s="2"/>
      <c r="X69" s="2">
        <f t="shared" si="14"/>
        <v>2000</v>
      </c>
      <c r="Y69" s="2"/>
      <c r="Z69" s="6">
        <f t="shared" si="15"/>
        <v>0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2000</v>
      </c>
      <c r="Q70" s="3"/>
      <c r="R70" s="7">
        <f t="shared" si="12"/>
        <v>5.7720390882487057E-3</v>
      </c>
      <c r="S70" s="3"/>
      <c r="T70" s="8"/>
      <c r="U70" s="3"/>
      <c r="V70" s="7">
        <f t="shared" si="13"/>
        <v>0</v>
      </c>
      <c r="W70" s="3"/>
      <c r="X70" s="8">
        <f t="shared" si="14"/>
        <v>2000</v>
      </c>
      <c r="Y70" s="3"/>
      <c r="Z70" s="7">
        <f t="shared" si="15"/>
        <v>0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7" t="s">
        <v>291</v>
      </c>
      <c r="C72" s="11"/>
      <c r="D72" s="5">
        <f>SUM(OSRRefD25x_0)</f>
        <v>1802.51</v>
      </c>
      <c r="E72" s="5"/>
      <c r="F72" s="13">
        <f>IF(D$12=0,0,D72/D$12)</f>
        <v>5.1729372937293731E-2</v>
      </c>
      <c r="G72" s="5"/>
      <c r="H72" s="5">
        <f>SUM(OSRRefH25x_0)</f>
        <v>2400</v>
      </c>
      <c r="I72" s="5"/>
      <c r="J72" s="13">
        <f>IF(H$12=0,0,H72/H$12)</f>
        <v>6.7009157918248824E-2</v>
      </c>
      <c r="K72" s="5"/>
      <c r="L72" s="5">
        <f>+D72-H72</f>
        <v>-597.49</v>
      </c>
      <c r="M72" s="5"/>
      <c r="N72" s="13">
        <f>IF(H72=0,0,L72/H72)</f>
        <v>-0.24895416666666667</v>
      </c>
      <c r="O72" s="11"/>
      <c r="P72" s="5">
        <f>SUM(OSRRefP25x_0)</f>
        <v>8041.05</v>
      </c>
      <c r="Q72" s="5"/>
      <c r="R72" s="13">
        <f>IF(P$12=0,0,P72/P$12)</f>
        <v>2.3206627455281129E-2</v>
      </c>
      <c r="S72" s="5"/>
      <c r="T72" s="5">
        <f>SUM(OSRRefT25x_0)</f>
        <v>19200</v>
      </c>
      <c r="U72" s="5"/>
      <c r="V72" s="13">
        <f>IF(T$12=0,0,T72/T$12)</f>
        <v>4.3311331778336216E-2</v>
      </c>
      <c r="W72" s="5"/>
      <c r="X72" s="5">
        <f>+P72-T72</f>
        <v>-11158.95</v>
      </c>
      <c r="Y72" s="5"/>
      <c r="Z72" s="13">
        <f>IF(T72=0,0,X72/T72)</f>
        <v>-0.58119531250000001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--1802.51</f>
        <v>1802.51</v>
      </c>
      <c r="E73" s="3"/>
      <c r="F73" s="20">
        <f>IF(D$12=0,0,D73/D$12)</f>
        <v>5.1729372937293731E-2</v>
      </c>
      <c r="G73" s="3"/>
      <c r="H73" s="3">
        <v>2400</v>
      </c>
      <c r="I73" s="3"/>
      <c r="J73" s="20">
        <f>IF(H$12=0,0,H73/H$12)</f>
        <v>6.7009157918248824E-2</v>
      </c>
      <c r="K73" s="3"/>
      <c r="L73" s="3">
        <f>+D73-H73</f>
        <v>-597.49</v>
      </c>
      <c r="M73" s="3"/>
      <c r="N73" s="20">
        <f>IF(H73=0,0,L73/H73)</f>
        <v>-0.24895416666666667</v>
      </c>
      <c r="O73" s="12"/>
      <c r="P73" s="3">
        <f>--8041.05</f>
        <v>8041.05</v>
      </c>
      <c r="Q73" s="3"/>
      <c r="R73" s="20">
        <f>IF(P$12=0,0,P73/P$12)</f>
        <v>2.3206627455281129E-2</v>
      </c>
      <c r="S73" s="3"/>
      <c r="T73" s="3">
        <v>19200</v>
      </c>
      <c r="U73" s="3"/>
      <c r="V73" s="20">
        <f>IF(T$12=0,0,T73/T$12)</f>
        <v>4.3311331778336216E-2</v>
      </c>
      <c r="W73" s="3"/>
      <c r="X73" s="3">
        <f>+P73-T73</f>
        <v>-11158.95</v>
      </c>
      <c r="Y73" s="3"/>
      <c r="Z73" s="20">
        <f>IF(T73=0,0,X73/T73)</f>
        <v>-0.58119531250000001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8" t="s">
        <v>292</v>
      </c>
      <c r="C75" s="28"/>
      <c r="D75" s="21">
        <f>+D17-D19+D72</f>
        <v>6399.9599999999973</v>
      </c>
      <c r="E75" s="15"/>
      <c r="F75" s="22">
        <f>IF(D$12=0,0,D75/D$12)</f>
        <v>0.18366939302625906</v>
      </c>
      <c r="G75" s="15"/>
      <c r="H75" s="21">
        <f>+H17-H19+H72</f>
        <v>3660.9013458223126</v>
      </c>
      <c r="I75" s="15"/>
      <c r="J75" s="22">
        <f>IF(H$12=0,0,H75/H$12)</f>
        <v>0.10221413183555708</v>
      </c>
      <c r="K75" s="16"/>
      <c r="L75" s="21">
        <f>+D75-H75</f>
        <v>2739.0586541776847</v>
      </c>
      <c r="M75" s="16"/>
      <c r="N75" s="22">
        <f>IF(H75=0,0,L75/H75)</f>
        <v>0.74819242460696156</v>
      </c>
      <c r="O75" s="27"/>
      <c r="P75" s="21">
        <f>+P17-P19+P72</f>
        <v>41253.190000000017</v>
      </c>
      <c r="Q75" s="15"/>
      <c r="R75" s="22">
        <f>IF(P$12=0,0,P75/P$12)</f>
        <v>0.11905751259747537</v>
      </c>
      <c r="S75" s="15"/>
      <c r="T75" s="21">
        <f>+T17-T19+T72</f>
        <v>45307.388879695209</v>
      </c>
      <c r="U75" s="15"/>
      <c r="V75" s="22">
        <f>IF(T$12=0,0,T75/T$12)</f>
        <v>0.10220434123846769</v>
      </c>
      <c r="W75" s="16"/>
      <c r="X75" s="21">
        <f>+P75-T75</f>
        <v>-4054.1988796951919</v>
      </c>
      <c r="Y75" s="16"/>
      <c r="Z75" s="22">
        <f>IF(T75=0,0,X75/T75)</f>
        <v>-8.9482068597250511E-2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1998.13</v>
      </c>
      <c r="E77" s="5"/>
      <c r="F77" s="13">
        <f>IF(D$12=0,0,D77/D$12)</f>
        <v>5.7343377816042478E-2</v>
      </c>
      <c r="G77" s="5"/>
      <c r="H77" s="5">
        <v>3136</v>
      </c>
      <c r="I77" s="5"/>
      <c r="J77" s="13">
        <f>IF(H$12=0,0,H77/H$12)</f>
        <v>8.7558633013178469E-2</v>
      </c>
      <c r="K77" s="5"/>
      <c r="L77" s="5">
        <f>+D77-H77</f>
        <v>-1137.8699999999999</v>
      </c>
      <c r="M77" s="5"/>
      <c r="N77" s="13">
        <f>IF(H77=0,0,L77/H77)</f>
        <v>-0.36284119897959183</v>
      </c>
      <c r="O77" s="11"/>
      <c r="P77" s="5">
        <v>43250.82</v>
      </c>
      <c r="Q77" s="5"/>
      <c r="R77" s="13">
        <f>IF(P$12=0,0,P77/P$12)</f>
        <v>0.12482271181940444</v>
      </c>
      <c r="S77" s="5"/>
      <c r="T77" s="5">
        <v>54193</v>
      </c>
      <c r="U77" s="5"/>
      <c r="V77" s="13">
        <f>IF(T$12=0,0,T77/T$12)</f>
        <v>0.12224848974288409</v>
      </c>
      <c r="W77" s="5"/>
      <c r="X77" s="5">
        <f>+P77-T77</f>
        <v>-10942.18</v>
      </c>
      <c r="Y77" s="5"/>
      <c r="Z77" s="13">
        <f>IF(T77=0,0,X77/T77)</f>
        <v>-0.20191131695975495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294</v>
      </c>
      <c r="C79" s="28"/>
      <c r="D79" s="33">
        <f>+D75-D77</f>
        <v>4401.8299999999972</v>
      </c>
      <c r="E79" s="15"/>
      <c r="F79" s="32">
        <f>IF(D$12=0,0,D79/D$12)</f>
        <v>0.12632601521021658</v>
      </c>
      <c r="G79" s="15"/>
      <c r="H79" s="33">
        <f>+H75-H77</f>
        <v>524.90134582231258</v>
      </c>
      <c r="I79" s="15"/>
      <c r="J79" s="32">
        <f>IF(H$12=0,0,H79/H$12)</f>
        <v>1.4655498822378618E-2</v>
      </c>
      <c r="K79" s="16"/>
      <c r="L79" s="33">
        <f>D79-H79</f>
        <v>3876.9286541776846</v>
      </c>
      <c r="M79" s="16"/>
      <c r="N79" s="32">
        <f>IF(H79=0,0,L79/H79)</f>
        <v>7.3860139339213777</v>
      </c>
      <c r="O79" s="27"/>
      <c r="P79" s="33">
        <f>+P75-P77</f>
        <v>-1997.6299999999828</v>
      </c>
      <c r="Q79" s="15"/>
      <c r="R79" s="32">
        <f>IF(P$12=0,0,P79/P$12)</f>
        <v>-5.7651992219290814E-3</v>
      </c>
      <c r="S79" s="15"/>
      <c r="T79" s="33">
        <f>+T75-T77</f>
        <v>-8885.6111203047913</v>
      </c>
      <c r="U79" s="15"/>
      <c r="V79" s="32">
        <f>IF(T$12=0,0,T79/T$12)</f>
        <v>-2.0044148504416381E-2</v>
      </c>
      <c r="W79" s="16"/>
      <c r="X79" s="33">
        <f>P79-T79</f>
        <v>6887.9811203048084</v>
      </c>
      <c r="Y79" s="16"/>
      <c r="Z79" s="32">
        <f>IF(T79=0,0,X79/T79)</f>
        <v>-0.77518372423083703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8" t="s">
        <v>297</v>
      </c>
      <c r="C82" s="28"/>
      <c r="D82" s="34">
        <f>SUM(D79:D81)</f>
        <v>4401.8299999999972</v>
      </c>
      <c r="E82" s="15"/>
      <c r="F82" s="30">
        <f>IF(D$12=0,0,D82/D$12)</f>
        <v>0.12632601521021658</v>
      </c>
      <c r="G82" s="15"/>
      <c r="H82" s="34">
        <f>SUM(H79:H81)</f>
        <v>524.90134582231258</v>
      </c>
      <c r="I82" s="15"/>
      <c r="J82" s="30">
        <f>IF(H$12=0,0,H82/H$12)</f>
        <v>1.4655498822378618E-2</v>
      </c>
      <c r="K82" s="16"/>
      <c r="L82" s="34">
        <f>+D82-H82</f>
        <v>3876.9286541776846</v>
      </c>
      <c r="M82" s="16"/>
      <c r="N82" s="30">
        <f>IF(H82=0,0,L82/H82)</f>
        <v>7.3860139339213777</v>
      </c>
      <c r="O82" s="27"/>
      <c r="P82" s="34">
        <f>SUM(P79:P81)</f>
        <v>-1997.6299999999828</v>
      </c>
      <c r="Q82" s="15"/>
      <c r="R82" s="30">
        <f>IF(P$12=0,0,P82/P$12)</f>
        <v>-5.7651992219290814E-3</v>
      </c>
      <c r="S82" s="15"/>
      <c r="T82" s="34">
        <f>SUM(T79:T81)</f>
        <v>-8885.6111203047913</v>
      </c>
      <c r="U82" s="15"/>
      <c r="V82" s="30">
        <f>IF(T$12=0,0,T82/T$12)</f>
        <v>-2.0044148504416381E-2</v>
      </c>
      <c r="W82" s="16"/>
      <c r="X82" s="34">
        <f>+P82-T82</f>
        <v>6887.9811203048084</v>
      </c>
      <c r="Y82" s="16"/>
      <c r="Z82" s="30">
        <f>IF(T82=0,0,X82/T82)</f>
        <v>-0.77518372423083703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0"/>
      <c r="B84" s="57">
        <v>44634.883419641206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0"/>
      <c r="B85" s="56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0"/>
      <c r="B86" s="54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39E0A-C876-3E31-56BB-D2A65CA0A00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">
        <v>300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00A8-22DD-B7C2-95FA-D88E8A4DD44E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2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str">
        <f>CONCATENATE("Period ",RIGHT(202208,2),", ",2022)</f>
        <v>Period 08, 2022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0">
        <v>44618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str">
        <f>CONCATENATE("Department ","501"," - ","ID Card Services")</f>
        <v>Department 501 - ID Card Services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>
        <f>SUM(OSRRefD13x_0)</f>
        <v>34845</v>
      </c>
      <c r="E12" s="5"/>
      <c r="F12" s="13"/>
      <c r="G12" s="5"/>
      <c r="H12" s="5">
        <f>SUM(OSRRefH13x_0)</f>
        <v>35816</v>
      </c>
      <c r="I12" s="5"/>
      <c r="J12" s="13"/>
      <c r="K12" s="5"/>
      <c r="L12" s="5">
        <f>+D12-H12</f>
        <v>-971</v>
      </c>
      <c r="M12" s="5"/>
      <c r="N12" s="13">
        <f>IF(H12=0,0,L12/H12)</f>
        <v>-2.7110788474424836E-2</v>
      </c>
      <c r="O12" s="11"/>
      <c r="P12" s="5">
        <f>SUM(OSRRefP13x_0)</f>
        <v>346498</v>
      </c>
      <c r="Q12" s="5"/>
      <c r="R12" s="13"/>
      <c r="S12" s="5"/>
      <c r="T12" s="5">
        <f>SUM(OSRRefT13x_0)</f>
        <v>443302</v>
      </c>
      <c r="U12" s="5"/>
      <c r="V12" s="13"/>
      <c r="W12" s="5"/>
      <c r="X12" s="5">
        <f>+P12-T12</f>
        <v>-96804</v>
      </c>
      <c r="Y12" s="5"/>
      <c r="Z12" s="13">
        <f>IF(T12=0,0,X12/T12)</f>
        <v>-0.21837032090989889</v>
      </c>
    </row>
    <row r="13" spans="1:26" s="70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--34845</f>
        <v>34845</v>
      </c>
      <c r="E13" s="3"/>
      <c r="F13" s="20"/>
      <c r="G13" s="3"/>
      <c r="H13" s="3">
        <v>35816</v>
      </c>
      <c r="I13" s="3"/>
      <c r="J13" s="20"/>
      <c r="K13" s="3"/>
      <c r="L13" s="3">
        <f>+D13-H13</f>
        <v>-971</v>
      </c>
      <c r="M13" s="3"/>
      <c r="N13" s="20">
        <f>IF(H13=0,0,L13/H13)</f>
        <v>-2.7110788474424836E-2</v>
      </c>
      <c r="O13" s="12"/>
      <c r="P13" s="3">
        <f>--346498</f>
        <v>346498</v>
      </c>
      <c r="Q13" s="3"/>
      <c r="R13" s="20"/>
      <c r="S13" s="3"/>
      <c r="T13" s="3">
        <v>443302</v>
      </c>
      <c r="U13" s="3"/>
      <c r="V13" s="20"/>
      <c r="W13" s="3"/>
      <c r="X13" s="3">
        <f>+P13-T13</f>
        <v>-96804</v>
      </c>
      <c r="Y13" s="3"/>
      <c r="Z13" s="20">
        <f>IF(T13=0,0,X13/T13)</f>
        <v>-0.21837032090989889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3">
      <c r="A15" s="11"/>
      <c r="B15" s="27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8" t="s">
        <v>289</v>
      </c>
      <c r="C17" s="28"/>
      <c r="D17" s="21">
        <f>D12-D15</f>
        <v>34845</v>
      </c>
      <c r="E17" s="15"/>
      <c r="F17" s="22">
        <f>IF(D$12=0,0,D17/D$12)</f>
        <v>1</v>
      </c>
      <c r="G17" s="15"/>
      <c r="H17" s="21">
        <f>H12-H15</f>
        <v>35816</v>
      </c>
      <c r="I17" s="15"/>
      <c r="J17" s="22">
        <f>IF(H$12=0,0,H17/H$12)</f>
        <v>1</v>
      </c>
      <c r="K17" s="16"/>
      <c r="L17" s="21">
        <f>+D17-H17</f>
        <v>-971</v>
      </c>
      <c r="M17" s="16"/>
      <c r="N17" s="22">
        <f>IF(H17=0,0,L17/H17)</f>
        <v>-2.7110788474424836E-2</v>
      </c>
      <c r="O17" s="27"/>
      <c r="P17" s="21">
        <f>P12-P15</f>
        <v>346498</v>
      </c>
      <c r="Q17" s="15"/>
      <c r="R17" s="22">
        <f>IF(P$12=0,0,P17/P$12)</f>
        <v>1</v>
      </c>
      <c r="S17" s="15"/>
      <c r="T17" s="21">
        <f>T12-T15</f>
        <v>443302</v>
      </c>
      <c r="U17" s="15"/>
      <c r="V17" s="22">
        <f>IF(T$12=0,0,T17/T$12)</f>
        <v>1</v>
      </c>
      <c r="W17" s="16"/>
      <c r="X17" s="21">
        <f>+P17-T17</f>
        <v>-96804</v>
      </c>
      <c r="Y17" s="16"/>
      <c r="Z17" s="22">
        <f>IF(T17=0,0,X17/T17)</f>
        <v>-0.21837032090989889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7" t="s">
        <v>290</v>
      </c>
      <c r="C19" s="11"/>
      <c r="D19" s="23" cm="1">
        <f t="array" ref="D19">SUM(OSRRefD22x_0)</f>
        <v>30247.550000000003</v>
      </c>
      <c r="E19" s="23"/>
      <c r="F19" s="29">
        <f t="shared" ref="F19:F50" si="0">IF(D$12=0,0,D19/D$12)</f>
        <v>0.86805997991103467</v>
      </c>
      <c r="G19" s="23"/>
      <c r="H19" s="23" cm="1">
        <f t="array" ref="H19">SUM(OSRRefH22x_0)</f>
        <v>34555.098654177687</v>
      </c>
      <c r="I19" s="23"/>
      <c r="J19" s="29">
        <f t="shared" ref="J19:J50" si="1">IF(H$12=0,0,H19/H$12)</f>
        <v>0.96479502608269174</v>
      </c>
      <c r="K19" s="5"/>
      <c r="L19" s="23">
        <f t="shared" ref="L19:L50" si="2">+D19-H19</f>
        <v>-4307.5486541776845</v>
      </c>
      <c r="M19" s="5"/>
      <c r="N19" s="29">
        <f t="shared" ref="N19:N50" si="3">IF(H19=0,0,L19/H19)</f>
        <v>-0.12465739708304681</v>
      </c>
      <c r="O19" s="11"/>
      <c r="P19" s="23" cm="1">
        <f t="array" ref="P19">SUM(OSRRefP22x_0)</f>
        <v>313285.86</v>
      </c>
      <c r="Q19" s="23"/>
      <c r="R19" s="29">
        <f t="shared" ref="R19:R50" si="4">IF(P$12=0,0,P19/P$12)</f>
        <v>0.9041491148578058</v>
      </c>
      <c r="S19" s="23"/>
      <c r="T19" s="23" cm="1">
        <f t="array" ref="T19">SUM(OSRRefT22x_0)</f>
        <v>417194.61112030479</v>
      </c>
      <c r="U19" s="23"/>
      <c r="V19" s="29">
        <f t="shared" ref="V19:V50" si="5">IF(T$12=0,0,T19/T$12)</f>
        <v>0.94110699053986846</v>
      </c>
      <c r="W19" s="5"/>
      <c r="X19" s="23">
        <f t="shared" ref="X19:X50" si="6">+P19-T19</f>
        <v>-103908.75112030481</v>
      </c>
      <c r="Y19" s="5"/>
      <c r="Z19" s="29">
        <f t="shared" ref="Z19:Z50" si="7">IF(T19=0,0,X19/T19)</f>
        <v>-0.24906542019149197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5605.2200000000012</v>
      </c>
      <c r="E20" s="2"/>
      <c r="F20" s="6">
        <f t="shared" si="0"/>
        <v>0.16086152963122402</v>
      </c>
      <c r="G20" s="2"/>
      <c r="H20" s="2">
        <f>SUM(OSRRefH22_0x_0)</f>
        <v>3352.8104118699998</v>
      </c>
      <c r="I20" s="2"/>
      <c r="J20" s="6">
        <f t="shared" si="1"/>
        <v>9.3612084316227376E-2</v>
      </c>
      <c r="K20" s="2"/>
      <c r="L20" s="2">
        <f t="shared" si="2"/>
        <v>2252.4095881300013</v>
      </c>
      <c r="M20" s="2"/>
      <c r="N20" s="6">
        <f t="shared" si="3"/>
        <v>0.67179748075100376</v>
      </c>
      <c r="O20" s="14"/>
      <c r="P20" s="2">
        <f>SUM(OSRRefP22_0x_0)</f>
        <v>33614.540000000008</v>
      </c>
      <c r="Q20" s="2"/>
      <c r="R20" s="6">
        <f t="shared" si="4"/>
        <v>9.7012219406749853E-2</v>
      </c>
      <c r="S20" s="2"/>
      <c r="T20" s="2">
        <f>SUM(OSRRefT22_0x_0)</f>
        <v>30402.276500112501</v>
      </c>
      <c r="U20" s="2"/>
      <c r="V20" s="6">
        <f t="shared" si="5"/>
        <v>6.85814106413066E-2</v>
      </c>
      <c r="W20" s="2"/>
      <c r="X20" s="2">
        <f t="shared" si="6"/>
        <v>3212.2634998875074</v>
      </c>
      <c r="Y20" s="2"/>
      <c r="Z20" s="6">
        <f t="shared" si="7"/>
        <v>0.10565865026178617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8">
        <v>912.86</v>
      </c>
      <c r="E21" s="3"/>
      <c r="F21" s="7">
        <f t="shared" si="0"/>
        <v>2.6197732816759939E-2</v>
      </c>
      <c r="G21" s="3"/>
      <c r="H21" s="8">
        <v>673.19318387769204</v>
      </c>
      <c r="I21" s="3"/>
      <c r="J21" s="7">
        <f t="shared" si="1"/>
        <v>1.879587848664541E-2</v>
      </c>
      <c r="K21" s="3"/>
      <c r="L21" s="8">
        <f t="shared" si="2"/>
        <v>239.66681612230798</v>
      </c>
      <c r="M21" s="3"/>
      <c r="N21" s="7">
        <f t="shared" si="3"/>
        <v>0.35601491794939422</v>
      </c>
      <c r="O21" s="12"/>
      <c r="P21" s="8">
        <v>8379.06</v>
      </c>
      <c r="Q21" s="3"/>
      <c r="R21" s="7">
        <f t="shared" si="4"/>
        <v>2.4182130921390599E-2</v>
      </c>
      <c r="S21" s="3"/>
      <c r="T21" s="8">
        <v>7839.3150739298098</v>
      </c>
      <c r="U21" s="3"/>
      <c r="V21" s="7">
        <f t="shared" si="5"/>
        <v>1.7683915420931576E-2</v>
      </c>
      <c r="W21" s="3"/>
      <c r="X21" s="8">
        <f t="shared" si="6"/>
        <v>539.74492607018965</v>
      </c>
      <c r="Y21" s="3"/>
      <c r="Z21" s="7">
        <f t="shared" si="7"/>
        <v>6.8851031114331551E-2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8">
        <v>174.33</v>
      </c>
      <c r="E22" s="3"/>
      <c r="F22" s="7">
        <f t="shared" si="0"/>
        <v>5.0030133448127423E-3</v>
      </c>
      <c r="G22" s="3"/>
      <c r="H22" s="8">
        <v>309.39029640000001</v>
      </c>
      <c r="I22" s="3"/>
      <c r="J22" s="7">
        <f t="shared" si="1"/>
        <v>8.6383263457672551E-3</v>
      </c>
      <c r="K22" s="3"/>
      <c r="L22" s="8">
        <f t="shared" si="2"/>
        <v>-135.0602964</v>
      </c>
      <c r="M22" s="3"/>
      <c r="N22" s="7">
        <f t="shared" si="3"/>
        <v>-0.43653695016144012</v>
      </c>
      <c r="O22" s="12"/>
      <c r="P22" s="8">
        <v>1337.41</v>
      </c>
      <c r="Q22" s="3"/>
      <c r="R22" s="7">
        <f t="shared" si="4"/>
        <v>3.8597913985073508E-3</v>
      </c>
      <c r="S22" s="3"/>
      <c r="T22" s="8">
        <v>2668.9616685000001</v>
      </c>
      <c r="U22" s="3"/>
      <c r="V22" s="7">
        <f t="shared" si="5"/>
        <v>6.0206398087534006E-3</v>
      </c>
      <c r="W22" s="3"/>
      <c r="X22" s="8">
        <f t="shared" si="6"/>
        <v>-1331.5516685</v>
      </c>
      <c r="Y22" s="3"/>
      <c r="Z22" s="7">
        <f t="shared" si="7"/>
        <v>-0.49890250737409569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8">
        <v>964.7</v>
      </c>
      <c r="E23" s="3"/>
      <c r="F23" s="7">
        <f t="shared" si="0"/>
        <v>2.7685464198593773E-2</v>
      </c>
      <c r="G23" s="3"/>
      <c r="H23" s="8">
        <v>1022.5</v>
      </c>
      <c r="I23" s="3"/>
      <c r="J23" s="7">
        <f t="shared" si="1"/>
        <v>2.8548693321420595E-2</v>
      </c>
      <c r="K23" s="3"/>
      <c r="L23" s="8">
        <f t="shared" si="2"/>
        <v>-57.799999999999955</v>
      </c>
      <c r="M23" s="3"/>
      <c r="N23" s="7">
        <f t="shared" si="3"/>
        <v>-5.6528117359413162E-2</v>
      </c>
      <c r="O23" s="12"/>
      <c r="P23" s="8">
        <v>8255.5</v>
      </c>
      <c r="Q23" s="3"/>
      <c r="R23" s="7">
        <f t="shared" si="4"/>
        <v>2.3825534346518594E-2</v>
      </c>
      <c r="S23" s="3"/>
      <c r="T23" s="8">
        <v>8180</v>
      </c>
      <c r="U23" s="3"/>
      <c r="V23" s="7">
        <f t="shared" si="5"/>
        <v>1.8452431976395324E-2</v>
      </c>
      <c r="W23" s="3"/>
      <c r="X23" s="8">
        <f t="shared" si="6"/>
        <v>75.5</v>
      </c>
      <c r="Y23" s="3"/>
      <c r="Z23" s="7">
        <f t="shared" si="7"/>
        <v>9.2298288508557459E-3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8">
        <v>34.5</v>
      </c>
      <c r="E24" s="3"/>
      <c r="F24" s="7">
        <f t="shared" si="0"/>
        <v>9.9009900990099011E-4</v>
      </c>
      <c r="G24" s="3"/>
      <c r="H24" s="8">
        <v>41.648693746153803</v>
      </c>
      <c r="I24" s="3"/>
      <c r="J24" s="7">
        <f t="shared" si="1"/>
        <v>1.1628516234686677E-3</v>
      </c>
      <c r="K24" s="3"/>
      <c r="L24" s="8">
        <f t="shared" si="2"/>
        <v>-7.1486937461538034</v>
      </c>
      <c r="M24" s="3"/>
      <c r="N24" s="7">
        <f t="shared" si="3"/>
        <v>-0.17164268799700291</v>
      </c>
      <c r="O24" s="12"/>
      <c r="P24" s="8">
        <v>264.56</v>
      </c>
      <c r="Q24" s="3"/>
      <c r="R24" s="7">
        <f t="shared" si="4"/>
        <v>7.635253305935388E-4</v>
      </c>
      <c r="S24" s="3"/>
      <c r="T24" s="8">
        <v>359.28330152884598</v>
      </c>
      <c r="U24" s="3"/>
      <c r="V24" s="7">
        <f t="shared" si="5"/>
        <v>8.1047074348603433E-4</v>
      </c>
      <c r="W24" s="3"/>
      <c r="X24" s="8">
        <f t="shared" si="6"/>
        <v>-94.72330152884598</v>
      </c>
      <c r="Y24" s="3"/>
      <c r="Z24" s="7">
        <f t="shared" si="7"/>
        <v>-0.26364515446660935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8">
        <v>630.69000000000005</v>
      </c>
      <c r="E25" s="3"/>
      <c r="F25" s="7">
        <f t="shared" si="0"/>
        <v>1.8099870856650883E-2</v>
      </c>
      <c r="G25" s="3"/>
      <c r="H25" s="8">
        <v>576.92767246153903</v>
      </c>
      <c r="I25" s="3"/>
      <c r="J25" s="7">
        <f t="shared" si="1"/>
        <v>1.6108098963076252E-2</v>
      </c>
      <c r="K25" s="3"/>
      <c r="L25" s="8">
        <f t="shared" si="2"/>
        <v>53.762327538461022</v>
      </c>
      <c r="M25" s="3"/>
      <c r="N25" s="7">
        <f t="shared" si="3"/>
        <v>9.3187292107305003E-2</v>
      </c>
      <c r="O25" s="12"/>
      <c r="P25" s="8">
        <v>5100.42</v>
      </c>
      <c r="Q25" s="3"/>
      <c r="R25" s="7">
        <f t="shared" si="4"/>
        <v>1.4719911803242731E-2</v>
      </c>
      <c r="S25" s="3"/>
      <c r="T25" s="8">
        <v>5048.1171340384699</v>
      </c>
      <c r="U25" s="3"/>
      <c r="V25" s="7">
        <f t="shared" si="5"/>
        <v>1.1387535210846038E-2</v>
      </c>
      <c r="W25" s="3"/>
      <c r="X25" s="8">
        <f t="shared" si="6"/>
        <v>52.302865961530188</v>
      </c>
      <c r="Y25" s="3"/>
      <c r="Z25" s="7">
        <f t="shared" si="7"/>
        <v>1.0360866155197183E-2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>
        <v>215.15</v>
      </c>
      <c r="Q27" s="3"/>
      <c r="R27" s="7">
        <f t="shared" si="4"/>
        <v>6.2092710491835456E-4</v>
      </c>
      <c r="S27" s="3"/>
      <c r="T27" s="8"/>
      <c r="U27" s="3"/>
      <c r="V27" s="7">
        <f t="shared" si="5"/>
        <v>0</v>
      </c>
      <c r="W27" s="3"/>
      <c r="X27" s="8">
        <f t="shared" si="6"/>
        <v>215.15</v>
      </c>
      <c r="Y27" s="3"/>
      <c r="Z27" s="7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8">
        <v>1219.74</v>
      </c>
      <c r="E28" s="3"/>
      <c r="F28" s="7">
        <f t="shared" si="0"/>
        <v>3.500473525613431E-2</v>
      </c>
      <c r="G28" s="3"/>
      <c r="H28" s="8">
        <v>201.25383923076899</v>
      </c>
      <c r="I28" s="3"/>
      <c r="J28" s="7">
        <f t="shared" si="1"/>
        <v>5.6191042894451915E-3</v>
      </c>
      <c r="K28" s="3"/>
      <c r="L28" s="8">
        <f t="shared" si="2"/>
        <v>1018.486160769231</v>
      </c>
      <c r="M28" s="3"/>
      <c r="N28" s="7">
        <f t="shared" si="3"/>
        <v>5.0607042561875177</v>
      </c>
      <c r="O28" s="12"/>
      <c r="P28" s="8">
        <v>5351.39</v>
      </c>
      <c r="Q28" s="3"/>
      <c r="R28" s="7">
        <f t="shared" si="4"/>
        <v>1.5444216128231622E-2</v>
      </c>
      <c r="S28" s="3"/>
      <c r="T28" s="8">
        <v>1760.9710932692301</v>
      </c>
      <c r="U28" s="3"/>
      <c r="V28" s="7">
        <f t="shared" si="5"/>
        <v>3.9723960037834931E-3</v>
      </c>
      <c r="W28" s="3"/>
      <c r="X28" s="8">
        <f t="shared" si="6"/>
        <v>3590.4189067307702</v>
      </c>
      <c r="Y28" s="3"/>
      <c r="Z28" s="7">
        <f t="shared" si="7"/>
        <v>2.0388857718641953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8">
        <v>1594.65</v>
      </c>
      <c r="E29" s="3"/>
      <c r="F29" s="7">
        <f t="shared" si="0"/>
        <v>4.5764098148945331E-2</v>
      </c>
      <c r="G29" s="3"/>
      <c r="H29" s="8">
        <v>527.89672615384598</v>
      </c>
      <c r="I29" s="3"/>
      <c r="J29" s="7">
        <f t="shared" si="1"/>
        <v>1.4739131286404009E-2</v>
      </c>
      <c r="K29" s="3"/>
      <c r="L29" s="8">
        <f t="shared" si="2"/>
        <v>1066.7532738461541</v>
      </c>
      <c r="M29" s="3"/>
      <c r="N29" s="7">
        <f t="shared" si="3"/>
        <v>2.0207612985560894</v>
      </c>
      <c r="O29" s="12"/>
      <c r="P29" s="8">
        <v>4208.55</v>
      </c>
      <c r="Q29" s="3"/>
      <c r="R29" s="7">
        <f t="shared" si="4"/>
        <v>1.2145957552424546E-2</v>
      </c>
      <c r="S29" s="3"/>
      <c r="T29" s="8">
        <v>4545.6282288461498</v>
      </c>
      <c r="U29" s="3"/>
      <c r="V29" s="7">
        <f t="shared" si="5"/>
        <v>1.0254021477110751E-2</v>
      </c>
      <c r="W29" s="3"/>
      <c r="X29" s="8">
        <f t="shared" si="6"/>
        <v>-337.07822884614961</v>
      </c>
      <c r="Y29" s="3"/>
      <c r="Z29" s="7">
        <f t="shared" si="7"/>
        <v>-7.4154376881743506E-2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8">
        <v>73.75</v>
      </c>
      <c r="E30" s="3"/>
      <c r="F30" s="7">
        <f t="shared" si="0"/>
        <v>2.1165159994260296E-3</v>
      </c>
      <c r="G30" s="3"/>
      <c r="H30" s="8"/>
      <c r="I30" s="3"/>
      <c r="J30" s="7">
        <f t="shared" si="1"/>
        <v>0</v>
      </c>
      <c r="K30" s="3"/>
      <c r="L30" s="8">
        <f t="shared" si="2"/>
        <v>73.75</v>
      </c>
      <c r="M30" s="3"/>
      <c r="N30" s="7">
        <f t="shared" si="3"/>
        <v>0</v>
      </c>
      <c r="O30" s="12"/>
      <c r="P30" s="8">
        <v>502.5</v>
      </c>
      <c r="Q30" s="3"/>
      <c r="R30" s="7">
        <f t="shared" si="4"/>
        <v>1.4502248209224873E-3</v>
      </c>
      <c r="S30" s="3"/>
      <c r="T30" s="8"/>
      <c r="U30" s="3"/>
      <c r="V30" s="7">
        <f t="shared" si="5"/>
        <v>0</v>
      </c>
      <c r="W30" s="3"/>
      <c r="X30" s="8">
        <f t="shared" si="6"/>
        <v>502.5</v>
      </c>
      <c r="Y30" s="3"/>
      <c r="Z30" s="7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13747.22</v>
      </c>
      <c r="E31" s="2"/>
      <c r="F31" s="6">
        <f t="shared" si="0"/>
        <v>0.39452489596785761</v>
      </c>
      <c r="G31" s="2"/>
      <c r="H31" s="2">
        <f>SUM(OSRRefH22_1x_0)</f>
        <v>19497.288242307688</v>
      </c>
      <c r="I31" s="2"/>
      <c r="J31" s="6">
        <f t="shared" si="1"/>
        <v>0.5443736945026717</v>
      </c>
      <c r="K31" s="2"/>
      <c r="L31" s="2">
        <f t="shared" si="2"/>
        <v>-5750.0682423076887</v>
      </c>
      <c r="M31" s="2"/>
      <c r="N31" s="6">
        <f t="shared" si="3"/>
        <v>-0.29491630686520098</v>
      </c>
      <c r="O31" s="14"/>
      <c r="P31" s="2">
        <f>SUM(OSRRefP22_1x_0)</f>
        <v>117059.17000000001</v>
      </c>
      <c r="Q31" s="2"/>
      <c r="R31" s="6">
        <f t="shared" si="4"/>
        <v>0.33783505243897516</v>
      </c>
      <c r="S31" s="2"/>
      <c r="T31" s="2">
        <f>SUM(OSRRefT22_1x_0)</f>
        <v>168152.3346201923</v>
      </c>
      <c r="U31" s="2"/>
      <c r="V31" s="6">
        <f t="shared" si="5"/>
        <v>0.37931778927275828</v>
      </c>
      <c r="W31" s="2"/>
      <c r="X31" s="2">
        <f t="shared" si="6"/>
        <v>-51093.164620192285</v>
      </c>
      <c r="Y31" s="2"/>
      <c r="Z31" s="6">
        <f t="shared" si="7"/>
        <v>-0.30385046235365704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8">
        <v>4426.34</v>
      </c>
      <c r="E32" s="3"/>
      <c r="F32" s="7">
        <f t="shared" si="0"/>
        <v>0.12702941598507678</v>
      </c>
      <c r="G32" s="3"/>
      <c r="H32" s="8">
        <v>4139.8076923076896</v>
      </c>
      <c r="I32" s="3"/>
      <c r="J32" s="7">
        <f t="shared" si="1"/>
        <v>0.11558542808542802</v>
      </c>
      <c r="K32" s="3"/>
      <c r="L32" s="8">
        <f t="shared" si="2"/>
        <v>286.5323076923105</v>
      </c>
      <c r="M32" s="3"/>
      <c r="N32" s="7">
        <f t="shared" si="3"/>
        <v>6.9213917406048944E-2</v>
      </c>
      <c r="O32" s="12"/>
      <c r="P32" s="8">
        <v>38117.57</v>
      </c>
      <c r="Q32" s="3"/>
      <c r="R32" s="7">
        <f t="shared" si="4"/>
        <v>0.11000805199452811</v>
      </c>
      <c r="S32" s="3"/>
      <c r="T32" s="8">
        <v>36223.317307692298</v>
      </c>
      <c r="U32" s="3"/>
      <c r="V32" s="7">
        <f t="shared" si="5"/>
        <v>8.1712505938823413E-2</v>
      </c>
      <c r="W32" s="3"/>
      <c r="X32" s="8">
        <f t="shared" si="6"/>
        <v>1894.2526923077021</v>
      </c>
      <c r="Y32" s="3"/>
      <c r="Z32" s="7">
        <f t="shared" si="7"/>
        <v>5.2293738759962856E-2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8">
        <v>1700</v>
      </c>
      <c r="E33" s="3"/>
      <c r="F33" s="7">
        <f t="shared" si="0"/>
        <v>4.8787487444396614E-2</v>
      </c>
      <c r="G33" s="3"/>
      <c r="H33" s="8">
        <v>2233.2305500000002</v>
      </c>
      <c r="I33" s="3"/>
      <c r="J33" s="7">
        <f t="shared" si="1"/>
        <v>6.2352874413669872E-2</v>
      </c>
      <c r="K33" s="3"/>
      <c r="L33" s="8">
        <f t="shared" si="2"/>
        <v>-533.23055000000022</v>
      </c>
      <c r="M33" s="3"/>
      <c r="N33" s="7">
        <f t="shared" si="3"/>
        <v>-0.23877093656989432</v>
      </c>
      <c r="O33" s="12"/>
      <c r="P33" s="8">
        <v>14952.57</v>
      </c>
      <c r="Q33" s="3"/>
      <c r="R33" s="7">
        <f t="shared" si="4"/>
        <v>4.3153409254887476E-2</v>
      </c>
      <c r="S33" s="3"/>
      <c r="T33" s="8">
        <v>19540.7673125</v>
      </c>
      <c r="U33" s="3"/>
      <c r="V33" s="7">
        <f t="shared" si="5"/>
        <v>4.4080034180987229E-2</v>
      </c>
      <c r="W33" s="3"/>
      <c r="X33" s="8">
        <f t="shared" si="6"/>
        <v>-4588.1973125000004</v>
      </c>
      <c r="Y33" s="3"/>
      <c r="Z33" s="7">
        <f t="shared" si="7"/>
        <v>-0.23480128692617838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8">
        <v>1486.34</v>
      </c>
      <c r="E35" s="3"/>
      <c r="F35" s="7">
        <f t="shared" si="0"/>
        <v>4.2655761228296743E-2</v>
      </c>
      <c r="G35" s="3"/>
      <c r="H35" s="8">
        <v>2088</v>
      </c>
      <c r="I35" s="3"/>
      <c r="J35" s="7">
        <f t="shared" si="1"/>
        <v>5.8297967388876479E-2</v>
      </c>
      <c r="K35" s="3"/>
      <c r="L35" s="8">
        <f t="shared" si="2"/>
        <v>-601.66000000000008</v>
      </c>
      <c r="M35" s="3"/>
      <c r="N35" s="7">
        <f t="shared" si="3"/>
        <v>-0.28815134099616863</v>
      </c>
      <c r="O35" s="12"/>
      <c r="P35" s="8">
        <v>10497.24</v>
      </c>
      <c r="Q35" s="3"/>
      <c r="R35" s="7">
        <f t="shared" si="4"/>
        <v>3.029523979936392E-2</v>
      </c>
      <c r="S35" s="3"/>
      <c r="T35" s="8">
        <v>17748</v>
      </c>
      <c r="U35" s="3"/>
      <c r="V35" s="7">
        <f t="shared" si="5"/>
        <v>4.0035912312599536E-2</v>
      </c>
      <c r="W35" s="3"/>
      <c r="X35" s="8">
        <f t="shared" si="6"/>
        <v>-7250.76</v>
      </c>
      <c r="Y35" s="3"/>
      <c r="Z35" s="7">
        <f t="shared" si="7"/>
        <v>-0.40853955375253553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8">
        <v>5369.89</v>
      </c>
      <c r="E36" s="3"/>
      <c r="F36" s="7">
        <f t="shared" si="0"/>
        <v>0.15410790644281822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5369.89</v>
      </c>
      <c r="M36" s="3"/>
      <c r="N36" s="7">
        <f t="shared" si="3"/>
        <v>0</v>
      </c>
      <c r="O36" s="12"/>
      <c r="P36" s="8">
        <v>45635.19</v>
      </c>
      <c r="Q36" s="3"/>
      <c r="R36" s="7">
        <f t="shared" si="4"/>
        <v>0.13170405023982823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45635.19</v>
      </c>
      <c r="Y36" s="3"/>
      <c r="Z36" s="7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8">
        <v>764.65</v>
      </c>
      <c r="E38" s="3"/>
      <c r="F38" s="7">
        <f t="shared" si="0"/>
        <v>2.1944324867269334E-2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764.65</v>
      </c>
      <c r="M38" s="3"/>
      <c r="N38" s="7">
        <f t="shared" si="3"/>
        <v>0</v>
      </c>
      <c r="O38" s="12"/>
      <c r="P38" s="8">
        <v>7692.38</v>
      </c>
      <c r="Q38" s="3"/>
      <c r="R38" s="7">
        <f t="shared" si="4"/>
        <v>2.2200359020831291E-2</v>
      </c>
      <c r="S38" s="3"/>
      <c r="T38" s="8">
        <v>25987.5</v>
      </c>
      <c r="U38" s="3"/>
      <c r="V38" s="7">
        <f t="shared" si="5"/>
        <v>5.8622564301537103E-2</v>
      </c>
      <c r="W38" s="3"/>
      <c r="X38" s="8">
        <f t="shared" si="6"/>
        <v>-18295.12</v>
      </c>
      <c r="Y38" s="3"/>
      <c r="Z38" s="7">
        <f t="shared" si="7"/>
        <v>-0.70399692159692151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8"/>
      <c r="E39" s="3"/>
      <c r="F39" s="7">
        <f t="shared" si="0"/>
        <v>0</v>
      </c>
      <c r="G39" s="3"/>
      <c r="H39" s="8">
        <v>11036.25</v>
      </c>
      <c r="I39" s="3"/>
      <c r="J39" s="7">
        <f t="shared" si="1"/>
        <v>0.30813742461469734</v>
      </c>
      <c r="K39" s="3"/>
      <c r="L39" s="8">
        <f t="shared" si="2"/>
        <v>-11036.25</v>
      </c>
      <c r="M39" s="3"/>
      <c r="N39" s="7">
        <f t="shared" si="3"/>
        <v>-1</v>
      </c>
      <c r="O39" s="12"/>
      <c r="P39" s="8">
        <v>164.22</v>
      </c>
      <c r="Q39" s="3"/>
      <c r="R39" s="7">
        <f t="shared" si="4"/>
        <v>4.7394212953610123E-4</v>
      </c>
      <c r="S39" s="3"/>
      <c r="T39" s="8">
        <v>68652.75</v>
      </c>
      <c r="U39" s="3"/>
      <c r="V39" s="7">
        <f t="shared" si="5"/>
        <v>0.15486677253881101</v>
      </c>
      <c r="W39" s="3"/>
      <c r="X39" s="8">
        <f t="shared" si="6"/>
        <v>-68488.53</v>
      </c>
      <c r="Y39" s="3"/>
      <c r="Z39" s="7">
        <f t="shared" si="7"/>
        <v>-0.99760796180779354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100</v>
      </c>
      <c r="I42" s="2"/>
      <c r="J42" s="6">
        <f t="shared" si="1"/>
        <v>2.7920482465937013E-3</v>
      </c>
      <c r="K42" s="2"/>
      <c r="L42" s="2">
        <f t="shared" si="2"/>
        <v>-100</v>
      </c>
      <c r="M42" s="2"/>
      <c r="N42" s="6">
        <f t="shared" si="3"/>
        <v>-1</v>
      </c>
      <c r="O42" s="14"/>
      <c r="P42" s="2">
        <f>SUM(OSRRefP22_2x_0)</f>
        <v>112.46</v>
      </c>
      <c r="Q42" s="2"/>
      <c r="R42" s="6">
        <f t="shared" si="4"/>
        <v>3.245617579322247E-4</v>
      </c>
      <c r="S42" s="2"/>
      <c r="T42" s="2">
        <f>SUM(OSRRefT22_2x_0)</f>
        <v>800</v>
      </c>
      <c r="U42" s="2"/>
      <c r="V42" s="6">
        <f t="shared" si="5"/>
        <v>1.8046388240973421E-3</v>
      </c>
      <c r="W42" s="2"/>
      <c r="X42" s="2">
        <f t="shared" si="6"/>
        <v>-687.54</v>
      </c>
      <c r="Y42" s="2"/>
      <c r="Z42" s="6">
        <f t="shared" si="7"/>
        <v>-0.85942499999999999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8"/>
      <c r="E43" s="3"/>
      <c r="F43" s="7">
        <f t="shared" si="0"/>
        <v>0</v>
      </c>
      <c r="G43" s="3"/>
      <c r="H43" s="8">
        <v>100</v>
      </c>
      <c r="I43" s="3"/>
      <c r="J43" s="7">
        <f t="shared" si="1"/>
        <v>2.7920482465937013E-3</v>
      </c>
      <c r="K43" s="3"/>
      <c r="L43" s="8">
        <f t="shared" si="2"/>
        <v>-100</v>
      </c>
      <c r="M43" s="3"/>
      <c r="N43" s="7">
        <f t="shared" si="3"/>
        <v>-1</v>
      </c>
      <c r="O43" s="12"/>
      <c r="P43" s="8">
        <v>112.46</v>
      </c>
      <c r="Q43" s="3"/>
      <c r="R43" s="7">
        <f t="shared" si="4"/>
        <v>3.245617579322247E-4</v>
      </c>
      <c r="S43" s="3"/>
      <c r="T43" s="8">
        <v>800</v>
      </c>
      <c r="U43" s="3"/>
      <c r="V43" s="7">
        <f t="shared" si="5"/>
        <v>1.8046388240973421E-3</v>
      </c>
      <c r="W43" s="3"/>
      <c r="X43" s="8">
        <f t="shared" si="6"/>
        <v>-687.54</v>
      </c>
      <c r="Y43" s="3"/>
      <c r="Z43" s="7">
        <f t="shared" si="7"/>
        <v>-0.85942499999999999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871.71</v>
      </c>
      <c r="E44" s="2"/>
      <c r="F44" s="6">
        <f t="shared" si="0"/>
        <v>2.5016788635385277E-2</v>
      </c>
      <c r="G44" s="2"/>
      <c r="H44" s="2">
        <f>SUM(OSRRefH22_3x_0)</f>
        <v>1250</v>
      </c>
      <c r="I44" s="2"/>
      <c r="J44" s="6">
        <f t="shared" si="1"/>
        <v>3.4900603082421267E-2</v>
      </c>
      <c r="K44" s="2"/>
      <c r="L44" s="2">
        <f t="shared" si="2"/>
        <v>-378.28999999999996</v>
      </c>
      <c r="M44" s="2"/>
      <c r="N44" s="6">
        <f t="shared" si="3"/>
        <v>-0.30263199999999996</v>
      </c>
      <c r="O44" s="14"/>
      <c r="P44" s="2">
        <f>SUM(OSRRefP22_3x_0)</f>
        <v>2772.18</v>
      </c>
      <c r="Q44" s="2"/>
      <c r="R44" s="6">
        <f t="shared" si="4"/>
        <v>8.0005656598306479E-3</v>
      </c>
      <c r="S44" s="2"/>
      <c r="T44" s="2">
        <f>SUM(OSRRefT22_3x_0)</f>
        <v>10000</v>
      </c>
      <c r="U44" s="2"/>
      <c r="V44" s="6">
        <f t="shared" si="5"/>
        <v>2.2557985301216776E-2</v>
      </c>
      <c r="W44" s="2"/>
      <c r="X44" s="2">
        <f t="shared" si="6"/>
        <v>-7227.82</v>
      </c>
      <c r="Y44" s="2"/>
      <c r="Z44" s="6">
        <f t="shared" si="7"/>
        <v>-0.72278199999999992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8">
        <v>871.71</v>
      </c>
      <c r="E45" s="3"/>
      <c r="F45" s="7">
        <f t="shared" si="0"/>
        <v>2.5016788635385277E-2</v>
      </c>
      <c r="G45" s="3"/>
      <c r="H45" s="8">
        <v>1250</v>
      </c>
      <c r="I45" s="3"/>
      <c r="J45" s="7">
        <f t="shared" si="1"/>
        <v>3.4900603082421267E-2</v>
      </c>
      <c r="K45" s="3"/>
      <c r="L45" s="8">
        <f t="shared" si="2"/>
        <v>-378.28999999999996</v>
      </c>
      <c r="M45" s="3"/>
      <c r="N45" s="7">
        <f t="shared" si="3"/>
        <v>-0.30263199999999996</v>
      </c>
      <c r="O45" s="12"/>
      <c r="P45" s="8">
        <v>2772.18</v>
      </c>
      <c r="Q45" s="3"/>
      <c r="R45" s="7">
        <f t="shared" si="4"/>
        <v>8.0005656598306479E-3</v>
      </c>
      <c r="S45" s="3"/>
      <c r="T45" s="8">
        <v>10000</v>
      </c>
      <c r="U45" s="3"/>
      <c r="V45" s="7">
        <f t="shared" si="5"/>
        <v>2.2557985301216776E-2</v>
      </c>
      <c r="W45" s="3"/>
      <c r="X45" s="8">
        <f t="shared" si="6"/>
        <v>-7227.82</v>
      </c>
      <c r="Y45" s="3"/>
      <c r="Z45" s="7">
        <f t="shared" si="7"/>
        <v>-0.72278199999999992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5.5840964931874021E-4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160</v>
      </c>
      <c r="U46" s="2"/>
      <c r="V46" s="6">
        <f t="shared" si="5"/>
        <v>3.6092776481946843E-4</v>
      </c>
      <c r="W46" s="2"/>
      <c r="X46" s="2">
        <f t="shared" si="6"/>
        <v>-160</v>
      </c>
      <c r="Y46" s="2"/>
      <c r="Z46" s="6">
        <f t="shared" si="7"/>
        <v>-1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>
        <v>20</v>
      </c>
      <c r="I47" s="3"/>
      <c r="J47" s="7">
        <f t="shared" si="1"/>
        <v>5.5840964931874021E-4</v>
      </c>
      <c r="K47" s="3"/>
      <c r="L47" s="8">
        <f t="shared" si="2"/>
        <v>-20</v>
      </c>
      <c r="M47" s="3"/>
      <c r="N47" s="7">
        <f t="shared" si="3"/>
        <v>-1</v>
      </c>
      <c r="O47" s="12"/>
      <c r="P47" s="8"/>
      <c r="Q47" s="3"/>
      <c r="R47" s="7">
        <f t="shared" si="4"/>
        <v>0</v>
      </c>
      <c r="S47" s="3"/>
      <c r="T47" s="8">
        <v>160</v>
      </c>
      <c r="U47" s="3"/>
      <c r="V47" s="7">
        <f t="shared" si="5"/>
        <v>3.6092776481946843E-4</v>
      </c>
      <c r="W47" s="3"/>
      <c r="X47" s="8">
        <f t="shared" si="6"/>
        <v>-160</v>
      </c>
      <c r="Y47" s="3"/>
      <c r="Z47" s="7">
        <f t="shared" si="7"/>
        <v>-1</v>
      </c>
    </row>
    <row r="48" spans="1:26" s="69" customFormat="1" ht="15" customHeight="1" outlineLevel="1" collapsed="1" x14ac:dyDescent="0.3">
      <c r="A48" s="25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2.7920482465937011E-4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1.7893321173570988E-6</v>
      </c>
      <c r="S48" s="2"/>
      <c r="T48" s="2">
        <f>SUM(OSRRefT22_5x_0)</f>
        <v>80</v>
      </c>
      <c r="U48" s="2"/>
      <c r="V48" s="6">
        <f t="shared" si="5"/>
        <v>1.8046388240973421E-4</v>
      </c>
      <c r="W48" s="2"/>
      <c r="X48" s="2">
        <f t="shared" si="6"/>
        <v>-79.38</v>
      </c>
      <c r="Y48" s="2"/>
      <c r="Z48" s="6">
        <f t="shared" si="7"/>
        <v>-0.99224999999999997</v>
      </c>
    </row>
    <row r="49" spans="1:26" s="70" customFormat="1" ht="15" hidden="1" customHeight="1" outlineLevel="2" x14ac:dyDescent="0.3">
      <c r="A49" s="26"/>
      <c r="B49" s="12" t="str">
        <f>CONCATENATE("          ","6305"," - ","FREIGHT OUT")</f>
        <v xml:space="preserve">          6305 - FREIGHT OUT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0.62</v>
      </c>
      <c r="Q49" s="3"/>
      <c r="R49" s="7">
        <f t="shared" si="4"/>
        <v>1.7893321173570988E-6</v>
      </c>
      <c r="S49" s="3"/>
      <c r="T49" s="8"/>
      <c r="U49" s="3"/>
      <c r="V49" s="7">
        <f t="shared" si="5"/>
        <v>0</v>
      </c>
      <c r="W49" s="3"/>
      <c r="X49" s="8">
        <f t="shared" si="6"/>
        <v>0.62</v>
      </c>
      <c r="Y49" s="3"/>
      <c r="Z49" s="7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","6307"," - ","POSTAGE")</f>
        <v xml:space="preserve">          6307 - POSTAGE</v>
      </c>
      <c r="C50" s="12"/>
      <c r="D50" s="8"/>
      <c r="E50" s="3"/>
      <c r="F50" s="7">
        <f t="shared" si="0"/>
        <v>0</v>
      </c>
      <c r="G50" s="3"/>
      <c r="H50" s="8">
        <v>10</v>
      </c>
      <c r="I50" s="3"/>
      <c r="J50" s="7">
        <f t="shared" si="1"/>
        <v>2.7920482465937011E-4</v>
      </c>
      <c r="K50" s="3"/>
      <c r="L50" s="8">
        <f t="shared" si="2"/>
        <v>-10</v>
      </c>
      <c r="M50" s="3"/>
      <c r="N50" s="7">
        <f t="shared" si="3"/>
        <v>-1</v>
      </c>
      <c r="O50" s="12"/>
      <c r="P50" s="8"/>
      <c r="Q50" s="3"/>
      <c r="R50" s="7">
        <f t="shared" si="4"/>
        <v>0</v>
      </c>
      <c r="S50" s="3"/>
      <c r="T50" s="8">
        <v>80</v>
      </c>
      <c r="U50" s="3"/>
      <c r="V50" s="7">
        <f t="shared" si="5"/>
        <v>1.8046388240973421E-4</v>
      </c>
      <c r="W50" s="3"/>
      <c r="X50" s="8">
        <f t="shared" si="6"/>
        <v>-80</v>
      </c>
      <c r="Y50" s="3"/>
      <c r="Z50" s="7">
        <f t="shared" si="7"/>
        <v>-1</v>
      </c>
    </row>
    <row r="51" spans="1:26" s="69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1.3960241232968506E-3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400</v>
      </c>
      <c r="U51" s="2"/>
      <c r="V51" s="6">
        <f t="shared" ref="V51:V70" si="13">IF(T$12=0,0,T51/T$12)</f>
        <v>9.0231941204867107E-4</v>
      </c>
      <c r="W51" s="2"/>
      <c r="X51" s="2">
        <f t="shared" ref="X51:X70" si="14">+P51-T51</f>
        <v>-400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8"/>
        <v>0</v>
      </c>
      <c r="G52" s="3"/>
      <c r="H52" s="8">
        <v>50</v>
      </c>
      <c r="I52" s="3"/>
      <c r="J52" s="7">
        <f t="shared" si="9"/>
        <v>1.3960241232968506E-3</v>
      </c>
      <c r="K52" s="3"/>
      <c r="L52" s="8">
        <f t="shared" si="10"/>
        <v>-50</v>
      </c>
      <c r="M52" s="3"/>
      <c r="N52" s="7">
        <f t="shared" si="11"/>
        <v>-1</v>
      </c>
      <c r="O52" s="12"/>
      <c r="P52" s="8"/>
      <c r="Q52" s="3"/>
      <c r="R52" s="7">
        <f t="shared" si="12"/>
        <v>0</v>
      </c>
      <c r="S52" s="3"/>
      <c r="T52" s="8">
        <v>400</v>
      </c>
      <c r="U52" s="3"/>
      <c r="V52" s="7">
        <f t="shared" si="13"/>
        <v>9.0231941204867107E-4</v>
      </c>
      <c r="W52" s="3"/>
      <c r="X52" s="8">
        <f t="shared" si="14"/>
        <v>-400</v>
      </c>
      <c r="Y52" s="3"/>
      <c r="Z52" s="7">
        <f t="shared" si="15"/>
        <v>-1</v>
      </c>
    </row>
    <row r="53" spans="1:26" s="69" customFormat="1" ht="15" customHeight="1" outlineLevel="1" collapsed="1" x14ac:dyDescent="0.3">
      <c r="A53" s="25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1.1315827234897402E-3</v>
      </c>
      <c r="G53" s="2"/>
      <c r="H53" s="2">
        <f>SUM(OSRRefH22_7x_0)</f>
        <v>40</v>
      </c>
      <c r="I53" s="2"/>
      <c r="J53" s="6">
        <f t="shared" si="9"/>
        <v>1.1168192986374804E-3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315.44</v>
      </c>
      <c r="Q53" s="2"/>
      <c r="R53" s="6">
        <f t="shared" si="12"/>
        <v>9.1036600499858587E-4</v>
      </c>
      <c r="S53" s="2"/>
      <c r="T53" s="2">
        <f>SUM(OSRRefT22_7x_0)</f>
        <v>320</v>
      </c>
      <c r="U53" s="2"/>
      <c r="V53" s="6">
        <f t="shared" si="13"/>
        <v>7.2185552963893685E-4</v>
      </c>
      <c r="W53" s="2"/>
      <c r="X53" s="2">
        <f t="shared" si="14"/>
        <v>-4.5600000000000023</v>
      </c>
      <c r="Y53" s="2"/>
      <c r="Z53" s="6">
        <f t="shared" si="15"/>
        <v>-1.4250000000000007E-2</v>
      </c>
    </row>
    <row r="54" spans="1:26" s="70" customFormat="1" ht="15" hidden="1" customHeight="1" outlineLevel="2" x14ac:dyDescent="0.3">
      <c r="A54" s="26"/>
      <c r="B54" s="12" t="str">
        <f>CONCATENATE("          ","6314"," - ","LIABILITY INSURANCE")</f>
        <v xml:space="preserve">          6314 - LIABILITY INSURANCE</v>
      </c>
      <c r="C54" s="12"/>
      <c r="D54" s="8">
        <v>39.43</v>
      </c>
      <c r="E54" s="3"/>
      <c r="F54" s="7">
        <f t="shared" si="8"/>
        <v>1.1315827234897402E-3</v>
      </c>
      <c r="G54" s="3"/>
      <c r="H54" s="8">
        <v>40</v>
      </c>
      <c r="I54" s="3"/>
      <c r="J54" s="7">
        <f t="shared" si="9"/>
        <v>1.1168192986374804E-3</v>
      </c>
      <c r="K54" s="3"/>
      <c r="L54" s="8">
        <f t="shared" si="10"/>
        <v>-0.57000000000000028</v>
      </c>
      <c r="M54" s="3"/>
      <c r="N54" s="7">
        <f t="shared" si="11"/>
        <v>-1.4250000000000007E-2</v>
      </c>
      <c r="O54" s="12"/>
      <c r="P54" s="8">
        <v>315.44</v>
      </c>
      <c r="Q54" s="3"/>
      <c r="R54" s="7">
        <f t="shared" si="12"/>
        <v>9.1036600499858587E-4</v>
      </c>
      <c r="S54" s="3"/>
      <c r="T54" s="8">
        <v>320</v>
      </c>
      <c r="U54" s="3"/>
      <c r="V54" s="7">
        <f t="shared" si="13"/>
        <v>7.2185552963893685E-4</v>
      </c>
      <c r="W54" s="3"/>
      <c r="X54" s="8">
        <f t="shared" si="14"/>
        <v>-4.5600000000000023</v>
      </c>
      <c r="Y54" s="3"/>
      <c r="Z54" s="7">
        <f t="shared" si="15"/>
        <v>-1.4250000000000007E-2</v>
      </c>
    </row>
    <row r="55" spans="1:26" s="69" customFormat="1" ht="15" customHeight="1" outlineLevel="1" collapsed="1" x14ac:dyDescent="0.3">
      <c r="A55" s="25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2.2958817620892524E-2</v>
      </c>
      <c r="G55" s="2"/>
      <c r="H55" s="2">
        <f>SUM(OSRRefH22_8x_0)</f>
        <v>800</v>
      </c>
      <c r="I55" s="2"/>
      <c r="J55" s="6">
        <f t="shared" si="9"/>
        <v>2.233638597274961E-2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6400</v>
      </c>
      <c r="Q55" s="2"/>
      <c r="R55" s="6">
        <f t="shared" si="12"/>
        <v>1.8470525082395859E-2</v>
      </c>
      <c r="S55" s="2"/>
      <c r="T55" s="2">
        <f>SUM(OSRRefT22_8x_0)</f>
        <v>6400</v>
      </c>
      <c r="U55" s="2"/>
      <c r="V55" s="6">
        <f t="shared" si="13"/>
        <v>1.4437110592778737E-2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3">
      <c r="A56" s="26"/>
      <c r="B56" s="12" t="str">
        <f>CONCATENATE("          ","6273"," - ","RENT")</f>
        <v xml:space="preserve">          6273 - RENT</v>
      </c>
      <c r="C56" s="12"/>
      <c r="D56" s="8">
        <v>800</v>
      </c>
      <c r="E56" s="3"/>
      <c r="F56" s="7">
        <f t="shared" si="8"/>
        <v>2.2958817620892524E-2</v>
      </c>
      <c r="G56" s="3"/>
      <c r="H56" s="8">
        <v>800</v>
      </c>
      <c r="I56" s="3"/>
      <c r="J56" s="7">
        <f t="shared" si="9"/>
        <v>2.233638597274961E-2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6400</v>
      </c>
      <c r="Q56" s="3"/>
      <c r="R56" s="7">
        <f t="shared" si="12"/>
        <v>1.8470525082395859E-2</v>
      </c>
      <c r="S56" s="3"/>
      <c r="T56" s="8">
        <v>6400</v>
      </c>
      <c r="U56" s="3"/>
      <c r="V56" s="7">
        <f t="shared" si="13"/>
        <v>1.4437110592778737E-2</v>
      </c>
      <c r="W56" s="3"/>
      <c r="X56" s="8">
        <f t="shared" si="14"/>
        <v>0</v>
      </c>
      <c r="Y56" s="3"/>
      <c r="Z56" s="7">
        <f t="shared" si="15"/>
        <v>0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7583.7</v>
      </c>
      <c r="E57" s="2"/>
      <c r="F57" s="6">
        <f t="shared" si="8"/>
        <v>0.21764098148945329</v>
      </c>
      <c r="G57" s="2"/>
      <c r="H57" s="2">
        <f>SUM(OSRRefH22_9x_0)</f>
        <v>3200</v>
      </c>
      <c r="I57" s="2"/>
      <c r="J57" s="6">
        <f t="shared" si="9"/>
        <v>8.9345543890998441E-2</v>
      </c>
      <c r="K57" s="2"/>
      <c r="L57" s="2">
        <f t="shared" si="10"/>
        <v>4383.7</v>
      </c>
      <c r="M57" s="2"/>
      <c r="N57" s="6">
        <f t="shared" si="11"/>
        <v>1.3699062499999999</v>
      </c>
      <c r="O57" s="14"/>
      <c r="P57" s="2">
        <f>SUM(OSRRefP22_9x_0)</f>
        <v>131139.97</v>
      </c>
      <c r="Q57" s="2"/>
      <c r="R57" s="6">
        <f t="shared" si="12"/>
        <v>0.37847251643588131</v>
      </c>
      <c r="S57" s="2"/>
      <c r="T57" s="2">
        <f>SUM(OSRRefT22_9x_0)</f>
        <v>150600</v>
      </c>
      <c r="U57" s="2"/>
      <c r="V57" s="6">
        <f t="shared" si="13"/>
        <v>0.33972325863632469</v>
      </c>
      <c r="W57" s="2"/>
      <c r="X57" s="2">
        <f t="shared" si="14"/>
        <v>-19460.03</v>
      </c>
      <c r="Y57" s="2"/>
      <c r="Z57" s="6">
        <f t="shared" si="15"/>
        <v>-0.12921666666666665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8">
        <v>7583.7</v>
      </c>
      <c r="E58" s="3"/>
      <c r="F58" s="7">
        <f t="shared" si="8"/>
        <v>0.21764098148945329</v>
      </c>
      <c r="G58" s="3"/>
      <c r="H58" s="8"/>
      <c r="I58" s="3"/>
      <c r="J58" s="7">
        <f t="shared" si="9"/>
        <v>0</v>
      </c>
      <c r="K58" s="3"/>
      <c r="L58" s="8">
        <f t="shared" si="10"/>
        <v>7583.7</v>
      </c>
      <c r="M58" s="3"/>
      <c r="N58" s="7">
        <f t="shared" si="11"/>
        <v>0</v>
      </c>
      <c r="O58" s="12"/>
      <c r="P58" s="8">
        <v>7583.7</v>
      </c>
      <c r="Q58" s="3"/>
      <c r="R58" s="7">
        <f t="shared" si="12"/>
        <v>2.1886706416775852E-2</v>
      </c>
      <c r="S58" s="3"/>
      <c r="T58" s="8">
        <v>125000</v>
      </c>
      <c r="U58" s="3"/>
      <c r="V58" s="7">
        <f t="shared" si="13"/>
        <v>0.2819748162652097</v>
      </c>
      <c r="W58" s="3"/>
      <c r="X58" s="8">
        <f t="shared" si="14"/>
        <v>-117416.3</v>
      </c>
      <c r="Y58" s="3"/>
      <c r="Z58" s="7">
        <f t="shared" si="15"/>
        <v>-0.93933040000000001</v>
      </c>
    </row>
    <row r="59" spans="1:26" s="70" customFormat="1" ht="15" hidden="1" customHeight="1" outlineLevel="2" x14ac:dyDescent="0.3">
      <c r="A59" s="26"/>
      <c r="B59" s="12" t="str">
        <f>CONCATENATE("          ","6372"," - ","COMPUTER HARDWARE MAINTENANCE")</f>
        <v xml:space="preserve">          6372 - COMPUTER HARDWARE MAINTENANCE</v>
      </c>
      <c r="C59" s="12"/>
      <c r="D59" s="8"/>
      <c r="E59" s="3"/>
      <c r="F59" s="7">
        <f t="shared" si="8"/>
        <v>0</v>
      </c>
      <c r="G59" s="3"/>
      <c r="H59" s="8">
        <v>3200</v>
      </c>
      <c r="I59" s="3"/>
      <c r="J59" s="7">
        <f t="shared" si="9"/>
        <v>8.9345543890998441E-2</v>
      </c>
      <c r="K59" s="3"/>
      <c r="L59" s="8">
        <f t="shared" si="10"/>
        <v>-3200</v>
      </c>
      <c r="M59" s="3"/>
      <c r="N59" s="7">
        <f t="shared" si="11"/>
        <v>-1</v>
      </c>
      <c r="O59" s="12"/>
      <c r="P59" s="8">
        <v>1555.65</v>
      </c>
      <c r="Q59" s="3"/>
      <c r="R59" s="7">
        <f t="shared" si="12"/>
        <v>4.4896363038170496E-3</v>
      </c>
      <c r="S59" s="3"/>
      <c r="T59" s="8">
        <v>25600</v>
      </c>
      <c r="U59" s="3"/>
      <c r="V59" s="7">
        <f t="shared" si="13"/>
        <v>5.7748442371114948E-2</v>
      </c>
      <c r="W59" s="3"/>
      <c r="X59" s="8">
        <f t="shared" si="14"/>
        <v>-24044.35</v>
      </c>
      <c r="Y59" s="3"/>
      <c r="Z59" s="7">
        <f t="shared" si="15"/>
        <v>-0.93923242187499989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122000.62</v>
      </c>
      <c r="Q60" s="3"/>
      <c r="R60" s="7">
        <f t="shared" si="12"/>
        <v>0.3520961737152884</v>
      </c>
      <c r="S60" s="3"/>
      <c r="T60" s="8"/>
      <c r="U60" s="3"/>
      <c r="V60" s="7">
        <f t="shared" si="13"/>
        <v>0</v>
      </c>
      <c r="W60" s="3"/>
      <c r="X60" s="8">
        <f t="shared" si="14"/>
        <v>122000.62</v>
      </c>
      <c r="Y60" s="3"/>
      <c r="Z60" s="7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0</v>
      </c>
      <c r="E61" s="2"/>
      <c r="F61" s="6">
        <f t="shared" si="8"/>
        <v>0</v>
      </c>
      <c r="G61" s="2"/>
      <c r="H61" s="2">
        <f>SUM(OSRRefH22_10x_0)</f>
        <v>85</v>
      </c>
      <c r="I61" s="2"/>
      <c r="J61" s="6">
        <f t="shared" si="9"/>
        <v>2.373241009604646E-3</v>
      </c>
      <c r="K61" s="2"/>
      <c r="L61" s="2">
        <f t="shared" si="10"/>
        <v>-85</v>
      </c>
      <c r="M61" s="2"/>
      <c r="N61" s="6">
        <f t="shared" si="11"/>
        <v>-1</v>
      </c>
      <c r="O61" s="14"/>
      <c r="P61" s="2">
        <f>SUM(OSRRefP22_10x_0)</f>
        <v>0</v>
      </c>
      <c r="Q61" s="2"/>
      <c r="R61" s="6">
        <f t="shared" si="12"/>
        <v>0</v>
      </c>
      <c r="S61" s="2"/>
      <c r="T61" s="2">
        <f>SUM(OSRRefT22_10x_0)</f>
        <v>680</v>
      </c>
      <c r="U61" s="2"/>
      <c r="V61" s="6">
        <f t="shared" si="13"/>
        <v>1.5339430004827409E-3</v>
      </c>
      <c r="W61" s="2"/>
      <c r="X61" s="2">
        <f t="shared" si="14"/>
        <v>-680</v>
      </c>
      <c r="Y61" s="2"/>
      <c r="Z61" s="6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8"/>
      <c r="E62" s="3"/>
      <c r="F62" s="7">
        <f t="shared" si="8"/>
        <v>0</v>
      </c>
      <c r="G62" s="3"/>
      <c r="H62" s="8">
        <v>85</v>
      </c>
      <c r="I62" s="3"/>
      <c r="J62" s="7">
        <f t="shared" si="9"/>
        <v>2.373241009604646E-3</v>
      </c>
      <c r="K62" s="3"/>
      <c r="L62" s="8">
        <f t="shared" si="10"/>
        <v>-85</v>
      </c>
      <c r="M62" s="3"/>
      <c r="N62" s="7">
        <f t="shared" si="11"/>
        <v>-1</v>
      </c>
      <c r="O62" s="12"/>
      <c r="P62" s="8"/>
      <c r="Q62" s="3"/>
      <c r="R62" s="7">
        <f t="shared" si="12"/>
        <v>0</v>
      </c>
      <c r="S62" s="3"/>
      <c r="T62" s="8">
        <v>680</v>
      </c>
      <c r="U62" s="3"/>
      <c r="V62" s="7">
        <f t="shared" si="13"/>
        <v>1.5339430004827409E-3</v>
      </c>
      <c r="W62" s="3"/>
      <c r="X62" s="8">
        <f t="shared" si="14"/>
        <v>-680</v>
      </c>
      <c r="Y62" s="3"/>
      <c r="Z62" s="7">
        <f t="shared" si="15"/>
        <v>-1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1513.07</v>
      </c>
      <c r="E63" s="2"/>
      <c r="F63" s="6">
        <f t="shared" si="8"/>
        <v>4.3422872722054813E-2</v>
      </c>
      <c r="G63" s="2"/>
      <c r="H63" s="2">
        <f>SUM(OSRRefH22_11x_0)</f>
        <v>5800</v>
      </c>
      <c r="I63" s="2"/>
      <c r="J63" s="6">
        <f t="shared" si="9"/>
        <v>0.16193879830243466</v>
      </c>
      <c r="K63" s="2"/>
      <c r="L63" s="2">
        <f t="shared" si="10"/>
        <v>-4286.93</v>
      </c>
      <c r="M63" s="2"/>
      <c r="N63" s="6">
        <f t="shared" si="11"/>
        <v>-0.73912586206896558</v>
      </c>
      <c r="O63" s="14"/>
      <c r="P63" s="2">
        <f>SUM(OSRRefP22_11x_0)</f>
        <v>19591.280000000002</v>
      </c>
      <c r="Q63" s="2"/>
      <c r="R63" s="6">
        <f t="shared" si="12"/>
        <v>5.6540816974412558E-2</v>
      </c>
      <c r="S63" s="2"/>
      <c r="T63" s="2">
        <f>SUM(OSRRefT22_11x_0)</f>
        <v>46400</v>
      </c>
      <c r="U63" s="2"/>
      <c r="V63" s="6">
        <f t="shared" si="13"/>
        <v>0.10466905179764585</v>
      </c>
      <c r="W63" s="2"/>
      <c r="X63" s="2">
        <f t="shared" si="14"/>
        <v>-26808.719999999998</v>
      </c>
      <c r="Y63" s="2"/>
      <c r="Z63" s="6">
        <f t="shared" si="15"/>
        <v>-0.57777413793103438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8"/>
      <c r="E64" s="3"/>
      <c r="F64" s="7">
        <f t="shared" si="8"/>
        <v>0</v>
      </c>
      <c r="G64" s="3"/>
      <c r="H64" s="8">
        <v>5800</v>
      </c>
      <c r="I64" s="3"/>
      <c r="J64" s="7">
        <f t="shared" si="9"/>
        <v>0.16193879830243466</v>
      </c>
      <c r="K64" s="3"/>
      <c r="L64" s="8">
        <f t="shared" si="10"/>
        <v>-5800</v>
      </c>
      <c r="M64" s="3"/>
      <c r="N64" s="7">
        <f t="shared" si="11"/>
        <v>-1</v>
      </c>
      <c r="O64" s="12"/>
      <c r="P64" s="8"/>
      <c r="Q64" s="3"/>
      <c r="R64" s="7">
        <f t="shared" si="12"/>
        <v>0</v>
      </c>
      <c r="S64" s="3"/>
      <c r="T64" s="8">
        <v>46400</v>
      </c>
      <c r="U64" s="3"/>
      <c r="V64" s="7">
        <f t="shared" si="13"/>
        <v>0.10466905179764585</v>
      </c>
      <c r="W64" s="3"/>
      <c r="X64" s="8">
        <f t="shared" si="14"/>
        <v>-46400</v>
      </c>
      <c r="Y64" s="3"/>
      <c r="Z64" s="7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8">
        <v>1513.07</v>
      </c>
      <c r="E65" s="3"/>
      <c r="F65" s="7">
        <f t="shared" si="8"/>
        <v>4.3422872722054813E-2</v>
      </c>
      <c r="G65" s="3"/>
      <c r="H65" s="8"/>
      <c r="I65" s="3"/>
      <c r="J65" s="7">
        <f t="shared" si="9"/>
        <v>0</v>
      </c>
      <c r="K65" s="3"/>
      <c r="L65" s="8">
        <f t="shared" si="10"/>
        <v>1513.07</v>
      </c>
      <c r="M65" s="3"/>
      <c r="N65" s="7">
        <f t="shared" si="11"/>
        <v>0</v>
      </c>
      <c r="O65" s="12"/>
      <c r="P65" s="8">
        <v>19574.740000000002</v>
      </c>
      <c r="Q65" s="3"/>
      <c r="R65" s="7">
        <f t="shared" si="12"/>
        <v>5.6493082211152741E-2</v>
      </c>
      <c r="S65" s="3"/>
      <c r="T65" s="8"/>
      <c r="U65" s="3"/>
      <c r="V65" s="7">
        <f t="shared" si="13"/>
        <v>0</v>
      </c>
      <c r="W65" s="3"/>
      <c r="X65" s="8">
        <f t="shared" si="14"/>
        <v>19574.740000000002</v>
      </c>
      <c r="Y65" s="3"/>
      <c r="Z65" s="7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16.54</v>
      </c>
      <c r="Q66" s="3"/>
      <c r="R66" s="7">
        <f t="shared" si="12"/>
        <v>4.7734763259816794E-5</v>
      </c>
      <c r="S66" s="3"/>
      <c r="T66" s="8"/>
      <c r="U66" s="3"/>
      <c r="V66" s="7">
        <f t="shared" si="13"/>
        <v>0</v>
      </c>
      <c r="W66" s="3"/>
      <c r="X66" s="8">
        <f t="shared" si="14"/>
        <v>16.54</v>
      </c>
      <c r="Y66" s="3"/>
      <c r="Z66" s="7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87.2</v>
      </c>
      <c r="E67" s="2"/>
      <c r="F67" s="6">
        <f t="shared" si="8"/>
        <v>2.5025111206772852E-3</v>
      </c>
      <c r="G67" s="2"/>
      <c r="H67" s="2">
        <f>SUM(OSRRefH22_12x_0)</f>
        <v>350</v>
      </c>
      <c r="I67" s="2"/>
      <c r="J67" s="6">
        <f t="shared" si="9"/>
        <v>9.7721688630779541E-3</v>
      </c>
      <c r="K67" s="2"/>
      <c r="L67" s="2">
        <f t="shared" si="10"/>
        <v>-262.8</v>
      </c>
      <c r="M67" s="2"/>
      <c r="N67" s="6">
        <f t="shared" si="11"/>
        <v>-0.75085714285714289</v>
      </c>
      <c r="O67" s="14"/>
      <c r="P67" s="2">
        <f>SUM(OSRRefP22_12x_0)</f>
        <v>280.2</v>
      </c>
      <c r="Q67" s="2"/>
      <c r="R67" s="6">
        <f t="shared" si="12"/>
        <v>8.0866267626364364E-4</v>
      </c>
      <c r="S67" s="2"/>
      <c r="T67" s="2">
        <f>SUM(OSRRefT22_12x_0)</f>
        <v>2800</v>
      </c>
      <c r="U67" s="2"/>
      <c r="V67" s="6">
        <f t="shared" si="13"/>
        <v>6.3162358843406978E-3</v>
      </c>
      <c r="W67" s="2"/>
      <c r="X67" s="2">
        <f t="shared" si="14"/>
        <v>-2519.8000000000002</v>
      </c>
      <c r="Y67" s="2"/>
      <c r="Z67" s="6">
        <f t="shared" si="15"/>
        <v>-0.89992857142857152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8">
        <v>87.2</v>
      </c>
      <c r="E68" s="3"/>
      <c r="F68" s="7">
        <f t="shared" si="8"/>
        <v>2.5025111206772852E-3</v>
      </c>
      <c r="G68" s="3"/>
      <c r="H68" s="8">
        <v>350</v>
      </c>
      <c r="I68" s="3"/>
      <c r="J68" s="7">
        <f t="shared" si="9"/>
        <v>9.7721688630779541E-3</v>
      </c>
      <c r="K68" s="3"/>
      <c r="L68" s="8">
        <f t="shared" si="10"/>
        <v>-262.8</v>
      </c>
      <c r="M68" s="3"/>
      <c r="N68" s="7">
        <f t="shared" si="11"/>
        <v>-0.75085714285714289</v>
      </c>
      <c r="O68" s="12"/>
      <c r="P68" s="8">
        <v>280.2</v>
      </c>
      <c r="Q68" s="3"/>
      <c r="R68" s="7">
        <f t="shared" si="12"/>
        <v>8.0866267626364364E-4</v>
      </c>
      <c r="S68" s="3"/>
      <c r="T68" s="8">
        <v>2800</v>
      </c>
      <c r="U68" s="3"/>
      <c r="V68" s="7">
        <f t="shared" si="13"/>
        <v>6.3162358843406978E-3</v>
      </c>
      <c r="W68" s="3"/>
      <c r="X68" s="8">
        <f t="shared" si="14"/>
        <v>-2519.8000000000002</v>
      </c>
      <c r="Y68" s="3"/>
      <c r="Z68" s="7">
        <f t="shared" si="15"/>
        <v>-0.89992857142857152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0</v>
      </c>
      <c r="I69" s="2"/>
      <c r="J69" s="6">
        <f t="shared" si="9"/>
        <v>0</v>
      </c>
      <c r="K69" s="2"/>
      <c r="L69" s="2">
        <f t="shared" si="10"/>
        <v>0</v>
      </c>
      <c r="M69" s="2"/>
      <c r="N69" s="6">
        <f t="shared" si="11"/>
        <v>0</v>
      </c>
      <c r="O69" s="14"/>
      <c r="P69" s="2">
        <f>SUM(OSRRefP22_13x_0)</f>
        <v>2000</v>
      </c>
      <c r="Q69" s="2"/>
      <c r="R69" s="6">
        <f t="shared" si="12"/>
        <v>5.7720390882487057E-3</v>
      </c>
      <c r="S69" s="2"/>
      <c r="T69" s="2">
        <f>SUM(OSRRefT22_13x_0)</f>
        <v>0</v>
      </c>
      <c r="U69" s="2"/>
      <c r="V69" s="6">
        <f t="shared" si="13"/>
        <v>0</v>
      </c>
      <c r="W69" s="2"/>
      <c r="X69" s="2">
        <f t="shared" si="14"/>
        <v>2000</v>
      </c>
      <c r="Y69" s="2"/>
      <c r="Z69" s="6">
        <f t="shared" si="15"/>
        <v>0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2000</v>
      </c>
      <c r="Q70" s="3"/>
      <c r="R70" s="7">
        <f t="shared" si="12"/>
        <v>5.7720390882487057E-3</v>
      </c>
      <c r="S70" s="3"/>
      <c r="T70" s="8"/>
      <c r="U70" s="3"/>
      <c r="V70" s="7">
        <f t="shared" si="13"/>
        <v>0</v>
      </c>
      <c r="W70" s="3"/>
      <c r="X70" s="8">
        <f t="shared" si="14"/>
        <v>2000</v>
      </c>
      <c r="Y70" s="3"/>
      <c r="Z70" s="7">
        <f t="shared" si="15"/>
        <v>0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7" t="s">
        <v>291</v>
      </c>
      <c r="C72" s="11"/>
      <c r="D72" s="5">
        <f>SUM(OSRRefD25x_0)</f>
        <v>1802.51</v>
      </c>
      <c r="E72" s="5"/>
      <c r="F72" s="13">
        <f>IF(D$12=0,0,D72/D$12)</f>
        <v>5.1729372937293731E-2</v>
      </c>
      <c r="G72" s="5"/>
      <c r="H72" s="5">
        <f>SUM(OSRRefH25x_0)</f>
        <v>2400</v>
      </c>
      <c r="I72" s="5"/>
      <c r="J72" s="13">
        <f>IF(H$12=0,0,H72/H$12)</f>
        <v>6.7009157918248824E-2</v>
      </c>
      <c r="K72" s="5"/>
      <c r="L72" s="5">
        <f>+D72-H72</f>
        <v>-597.49</v>
      </c>
      <c r="M72" s="5"/>
      <c r="N72" s="13">
        <f>IF(H72=0,0,L72/H72)</f>
        <v>-0.24895416666666667</v>
      </c>
      <c r="O72" s="11"/>
      <c r="P72" s="5">
        <f>SUM(OSRRefP25x_0)</f>
        <v>8041.05</v>
      </c>
      <c r="Q72" s="5"/>
      <c r="R72" s="13">
        <f>IF(P$12=0,0,P72/P$12)</f>
        <v>2.3206627455281129E-2</v>
      </c>
      <c r="S72" s="5"/>
      <c r="T72" s="5">
        <f>SUM(OSRRefT25x_0)</f>
        <v>19200</v>
      </c>
      <c r="U72" s="5"/>
      <c r="V72" s="13">
        <f>IF(T$12=0,0,T72/T$12)</f>
        <v>4.3311331778336216E-2</v>
      </c>
      <c r="W72" s="5"/>
      <c r="X72" s="5">
        <f>+P72-T72</f>
        <v>-11158.95</v>
      </c>
      <c r="Y72" s="5"/>
      <c r="Z72" s="13">
        <f>IF(T72=0,0,X72/T72)</f>
        <v>-0.58119531250000001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--1802.51</f>
        <v>1802.51</v>
      </c>
      <c r="E73" s="3"/>
      <c r="F73" s="20">
        <f>IF(D$12=0,0,D73/D$12)</f>
        <v>5.1729372937293731E-2</v>
      </c>
      <c r="G73" s="3"/>
      <c r="H73" s="3">
        <v>2400</v>
      </c>
      <c r="I73" s="3"/>
      <c r="J73" s="20">
        <f>IF(H$12=0,0,H73/H$12)</f>
        <v>6.7009157918248824E-2</v>
      </c>
      <c r="K73" s="3"/>
      <c r="L73" s="3">
        <f>+D73-H73</f>
        <v>-597.49</v>
      </c>
      <c r="M73" s="3"/>
      <c r="N73" s="20">
        <f>IF(H73=0,0,L73/H73)</f>
        <v>-0.24895416666666667</v>
      </c>
      <c r="O73" s="12"/>
      <c r="P73" s="3">
        <f>--8041.05</f>
        <v>8041.05</v>
      </c>
      <c r="Q73" s="3"/>
      <c r="R73" s="20">
        <f>IF(P$12=0,0,P73/P$12)</f>
        <v>2.3206627455281129E-2</v>
      </c>
      <c r="S73" s="3"/>
      <c r="T73" s="3">
        <v>19200</v>
      </c>
      <c r="U73" s="3"/>
      <c r="V73" s="20">
        <f>IF(T$12=0,0,T73/T$12)</f>
        <v>4.3311331778336216E-2</v>
      </c>
      <c r="W73" s="3"/>
      <c r="X73" s="3">
        <f>+P73-T73</f>
        <v>-11158.95</v>
      </c>
      <c r="Y73" s="3"/>
      <c r="Z73" s="20">
        <f>IF(T73=0,0,X73/T73)</f>
        <v>-0.58119531250000001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8" t="s">
        <v>292</v>
      </c>
      <c r="C75" s="28"/>
      <c r="D75" s="21">
        <f>+D17-D19+D72</f>
        <v>6399.9599999999973</v>
      </c>
      <c r="E75" s="15"/>
      <c r="F75" s="22">
        <f>IF(D$12=0,0,D75/D$12)</f>
        <v>0.18366939302625906</v>
      </c>
      <c r="G75" s="15"/>
      <c r="H75" s="21">
        <f>+H17-H19+H72</f>
        <v>3660.9013458223126</v>
      </c>
      <c r="I75" s="15"/>
      <c r="J75" s="22">
        <f>IF(H$12=0,0,H75/H$12)</f>
        <v>0.10221413183555708</v>
      </c>
      <c r="K75" s="16"/>
      <c r="L75" s="21">
        <f>+D75-H75</f>
        <v>2739.0586541776847</v>
      </c>
      <c r="M75" s="16"/>
      <c r="N75" s="22">
        <f>IF(H75=0,0,L75/H75)</f>
        <v>0.74819242460696156</v>
      </c>
      <c r="O75" s="27"/>
      <c r="P75" s="21">
        <f>+P17-P19+P72</f>
        <v>41253.190000000017</v>
      </c>
      <c r="Q75" s="15"/>
      <c r="R75" s="22">
        <f>IF(P$12=0,0,P75/P$12)</f>
        <v>0.11905751259747537</v>
      </c>
      <c r="S75" s="15"/>
      <c r="T75" s="21">
        <f>+T17-T19+T72</f>
        <v>45307.388879695209</v>
      </c>
      <c r="U75" s="15"/>
      <c r="V75" s="22">
        <f>IF(T$12=0,0,T75/T$12)</f>
        <v>0.10220434123846769</v>
      </c>
      <c r="W75" s="16"/>
      <c r="X75" s="21">
        <f>+P75-T75</f>
        <v>-4054.1988796951919</v>
      </c>
      <c r="Y75" s="16"/>
      <c r="Z75" s="22">
        <f>IF(T75=0,0,X75/T75)</f>
        <v>-8.9482068597250511E-2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1998.13</v>
      </c>
      <c r="E77" s="5"/>
      <c r="F77" s="13">
        <f>IF(D$12=0,0,D77/D$12)</f>
        <v>5.7343377816042478E-2</v>
      </c>
      <c r="G77" s="5"/>
      <c r="H77" s="5">
        <v>3136</v>
      </c>
      <c r="I77" s="5"/>
      <c r="J77" s="13">
        <f>IF(H$12=0,0,H77/H$12)</f>
        <v>8.7558633013178469E-2</v>
      </c>
      <c r="K77" s="5"/>
      <c r="L77" s="5">
        <f>+D77-H77</f>
        <v>-1137.8699999999999</v>
      </c>
      <c r="M77" s="5"/>
      <c r="N77" s="13">
        <f>IF(H77=0,0,L77/H77)</f>
        <v>-0.36284119897959183</v>
      </c>
      <c r="O77" s="11"/>
      <c r="P77" s="5">
        <v>43250.82</v>
      </c>
      <c r="Q77" s="5"/>
      <c r="R77" s="13">
        <f>IF(P$12=0,0,P77/P$12)</f>
        <v>0.12482271181940444</v>
      </c>
      <c r="S77" s="5"/>
      <c r="T77" s="5">
        <v>54193</v>
      </c>
      <c r="U77" s="5"/>
      <c r="V77" s="13">
        <f>IF(T$12=0,0,T77/T$12)</f>
        <v>0.12224848974288409</v>
      </c>
      <c r="W77" s="5"/>
      <c r="X77" s="5">
        <f>+P77-T77</f>
        <v>-10942.18</v>
      </c>
      <c r="Y77" s="5"/>
      <c r="Z77" s="13">
        <f>IF(T77=0,0,X77/T77)</f>
        <v>-0.20191131695975495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8" t="s">
        <v>294</v>
      </c>
      <c r="C79" s="28"/>
      <c r="D79" s="33">
        <f>+D75-D77</f>
        <v>4401.8299999999972</v>
      </c>
      <c r="E79" s="15"/>
      <c r="F79" s="32">
        <f>IF(D$12=0,0,D79/D$12)</f>
        <v>0.12632601521021658</v>
      </c>
      <c r="G79" s="15"/>
      <c r="H79" s="33">
        <f>+H75-H77</f>
        <v>524.90134582231258</v>
      </c>
      <c r="I79" s="15"/>
      <c r="J79" s="32">
        <f>IF(H$12=0,0,H79/H$12)</f>
        <v>1.4655498822378618E-2</v>
      </c>
      <c r="K79" s="16"/>
      <c r="L79" s="33">
        <f>D79-H79</f>
        <v>3876.9286541776846</v>
      </c>
      <c r="M79" s="16"/>
      <c r="N79" s="32">
        <f>IF(H79=0,0,L79/H79)</f>
        <v>7.3860139339213777</v>
      </c>
      <c r="O79" s="27"/>
      <c r="P79" s="33">
        <f>+P75-P77</f>
        <v>-1997.6299999999828</v>
      </c>
      <c r="Q79" s="15"/>
      <c r="R79" s="32">
        <f>IF(P$12=0,0,P79/P$12)</f>
        <v>-5.7651992219290814E-3</v>
      </c>
      <c r="S79" s="15"/>
      <c r="T79" s="33">
        <f>+T75-T77</f>
        <v>-8885.6111203047913</v>
      </c>
      <c r="U79" s="15"/>
      <c r="V79" s="32">
        <f>IF(T$12=0,0,T79/T$12)</f>
        <v>-2.0044148504416381E-2</v>
      </c>
      <c r="W79" s="16"/>
      <c r="X79" s="33">
        <f>P79-T79</f>
        <v>6887.9811203048084</v>
      </c>
      <c r="Y79" s="16"/>
      <c r="Z79" s="32">
        <f>IF(T79=0,0,X79/T79)</f>
        <v>-0.77518372423083703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8" t="s">
        <v>297</v>
      </c>
      <c r="C82" s="28"/>
      <c r="D82" s="34">
        <f>SUM(D79:D81)</f>
        <v>4401.8299999999972</v>
      </c>
      <c r="E82" s="15"/>
      <c r="F82" s="30">
        <f>IF(D$12=0,0,D82/D$12)</f>
        <v>0.12632601521021658</v>
      </c>
      <c r="G82" s="15"/>
      <c r="H82" s="34">
        <f>SUM(H79:H81)</f>
        <v>524.90134582231258</v>
      </c>
      <c r="I82" s="15"/>
      <c r="J82" s="30">
        <f>IF(H$12=0,0,H82/H$12)</f>
        <v>1.4655498822378618E-2</v>
      </c>
      <c r="K82" s="16"/>
      <c r="L82" s="34">
        <f>+D82-H82</f>
        <v>3876.9286541776846</v>
      </c>
      <c r="M82" s="16"/>
      <c r="N82" s="30">
        <f>IF(H82=0,0,L82/H82)</f>
        <v>7.3860139339213777</v>
      </c>
      <c r="O82" s="27"/>
      <c r="P82" s="34">
        <f>SUM(P79:P81)</f>
        <v>-1997.6299999999828</v>
      </c>
      <c r="Q82" s="15"/>
      <c r="R82" s="30">
        <f>IF(P$12=0,0,P82/P$12)</f>
        <v>-5.7651992219290814E-3</v>
      </c>
      <c r="S82" s="15"/>
      <c r="T82" s="34">
        <f>SUM(T79:T81)</f>
        <v>-8885.6111203047913</v>
      </c>
      <c r="U82" s="15"/>
      <c r="V82" s="30">
        <f>IF(T$12=0,0,T82/T$12)</f>
        <v>-2.0044148504416381E-2</v>
      </c>
      <c r="W82" s="16"/>
      <c r="X82" s="34">
        <f>+P82-T82</f>
        <v>6887.9811203048084</v>
      </c>
      <c r="Y82" s="16"/>
      <c r="Z82" s="30">
        <f>IF(T82=0,0,X82/T82)</f>
        <v>-0.77518372423083703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1"/>
      <c r="K83" s="19"/>
      <c r="L83" s="19"/>
      <c r="M83" s="19"/>
      <c r="P83" s="19"/>
      <c r="Q83" s="19"/>
      <c r="R83" s="41"/>
      <c r="S83" s="19"/>
      <c r="T83" s="19"/>
      <c r="U83" s="19"/>
      <c r="V83" s="41"/>
      <c r="W83" s="19"/>
      <c r="X83" s="19"/>
    </row>
    <row r="84" spans="1:26" ht="15" customHeight="1" x14ac:dyDescent="0.3">
      <c r="A84" s="10"/>
      <c r="B84" s="57">
        <v>44634.883430555557</v>
      </c>
      <c r="D84" s="19"/>
      <c r="E84" s="19"/>
      <c r="G84" s="19"/>
      <c r="H84" s="19"/>
      <c r="I84" s="19"/>
      <c r="J84" s="41"/>
      <c r="K84" s="19"/>
      <c r="L84" s="19"/>
      <c r="M84" s="19"/>
      <c r="P84" s="19"/>
      <c r="Q84" s="19"/>
      <c r="R84" s="41"/>
      <c r="S84" s="19"/>
      <c r="T84" s="19"/>
      <c r="U84" s="19"/>
      <c r="V84" s="41"/>
      <c r="W84" s="19"/>
      <c r="X84" s="19"/>
    </row>
    <row r="85" spans="1:26" ht="15" customHeight="1" x14ac:dyDescent="0.3">
      <c r="A85" s="10"/>
      <c r="B85" s="56" t="s">
        <v>298</v>
      </c>
      <c r="D85" s="19"/>
      <c r="E85" s="19"/>
      <c r="G85" s="19"/>
      <c r="H85" s="19"/>
      <c r="I85" s="19"/>
      <c r="J85" s="41"/>
      <c r="K85" s="19"/>
      <c r="L85" s="19"/>
      <c r="M85" s="19"/>
      <c r="P85" s="19"/>
      <c r="Q85" s="19"/>
      <c r="R85" s="41"/>
      <c r="S85" s="19"/>
      <c r="T85" s="19"/>
      <c r="U85" s="19"/>
      <c r="V85" s="41"/>
      <c r="W85" s="19"/>
      <c r="X85" s="19"/>
    </row>
    <row r="86" spans="1:26" ht="15" customHeight="1" x14ac:dyDescent="0.3">
      <c r="A86" s="10"/>
      <c r="B86" s="54"/>
      <c r="D86" s="19"/>
      <c r="E86" s="19"/>
      <c r="G86" s="19"/>
      <c r="H86" s="19"/>
      <c r="I86" s="19"/>
      <c r="J86" s="41"/>
      <c r="K86" s="19"/>
      <c r="L86" s="19"/>
      <c r="M86" s="19"/>
      <c r="P86" s="19"/>
      <c r="Q86" s="19"/>
      <c r="R86" s="41"/>
      <c r="S86" s="19"/>
      <c r="T86" s="19"/>
      <c r="U86" s="19"/>
      <c r="V86" s="41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1"/>
      <c r="K87" s="19"/>
      <c r="L87" s="19"/>
      <c r="M87" s="19"/>
      <c r="P87" s="19"/>
      <c r="Q87" s="19"/>
      <c r="R87" s="41"/>
      <c r="S87" s="19"/>
      <c r="T87" s="19"/>
      <c r="U87" s="19"/>
      <c r="V87" s="41"/>
      <c r="W87" s="19"/>
      <c r="X87" s="19"/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4AF0E-6199-E41F-CCCE-1F4B0F753BC5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0D8CF-480D-2853-0EB6-A3B106A7C09B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E90C3-57A5-F4D9-8F9E-2274AE81C1AF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8" t="s">
        <v>276</v>
      </c>
    </row>
    <row r="3" spans="1:26" ht="15" customHeight="1" x14ac:dyDescent="0.3">
      <c r="D3" s="58" t="s">
        <v>277</v>
      </c>
      <c r="E3" s="18"/>
      <c r="F3" s="43"/>
      <c r="G3" s="18"/>
      <c r="H3" s="18"/>
      <c r="I3" s="18"/>
      <c r="J3" s="36"/>
      <c r="K3" s="18"/>
      <c r="L3" s="18"/>
      <c r="M3" s="18"/>
      <c r="N3" s="43"/>
      <c r="O3" s="50"/>
      <c r="P3" s="18"/>
      <c r="Q3" s="18"/>
      <c r="R3" s="36"/>
      <c r="S3" s="18"/>
      <c r="T3" s="18"/>
      <c r="U3" s="18"/>
      <c r="V3" s="36"/>
      <c r="W3" s="18"/>
      <c r="X3" s="18"/>
      <c r="Y3" s="18"/>
      <c r="Z3" s="36"/>
    </row>
    <row r="4" spans="1:26" ht="15" customHeight="1" x14ac:dyDescent="0.3">
      <c r="D4" s="58" t="e">
        <f ca="1">CONCATENATE("Period ",RIGHT(_xll.ONESTOP.REPORTPLAYER.OSRFUNCTIONS.OSRGET("Period","PeriodId"),2),", ",_xll.ONESTOP.REPORTPLAYER.OSRFUNCTIONS.OSRGET("Period","Year"))</f>
        <v>#NAME?</v>
      </c>
      <c r="E4" s="18"/>
      <c r="F4" s="43"/>
      <c r="G4" s="18"/>
      <c r="H4" s="18"/>
      <c r="I4" s="18"/>
      <c r="J4" s="36"/>
      <c r="K4" s="18"/>
      <c r="L4" s="18"/>
      <c r="M4" s="18"/>
      <c r="N4" s="43"/>
      <c r="O4" s="50"/>
      <c r="P4" s="18"/>
      <c r="Q4" s="18"/>
      <c r="R4" s="36"/>
      <c r="S4" s="18"/>
      <c r="T4" s="18"/>
      <c r="U4" s="18"/>
      <c r="V4" s="36"/>
      <c r="W4" s="18"/>
      <c r="X4" s="18"/>
      <c r="Y4" s="18"/>
      <c r="Z4" s="36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3"/>
      <c r="G5" s="18"/>
      <c r="H5" s="18"/>
      <c r="I5" s="18"/>
      <c r="J5" s="36"/>
      <c r="K5" s="18"/>
      <c r="L5" s="18"/>
      <c r="M5" s="18"/>
      <c r="N5" s="43"/>
      <c r="O5" s="50"/>
      <c r="P5" s="18"/>
      <c r="Q5" s="18"/>
      <c r="R5" s="36"/>
      <c r="S5" s="18"/>
      <c r="T5" s="18"/>
      <c r="U5" s="18"/>
      <c r="V5" s="36"/>
      <c r="W5" s="18"/>
      <c r="X5" s="18"/>
      <c r="Y5" s="18"/>
      <c r="Z5" s="36"/>
    </row>
    <row r="6" spans="1:26" ht="15" customHeight="1" x14ac:dyDescent="0.3">
      <c r="A6" s="24"/>
      <c r="B6" s="46"/>
      <c r="C6" s="46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3"/>
      <c r="G6" s="18"/>
      <c r="H6" s="18"/>
      <c r="I6" s="18"/>
      <c r="J6" s="36"/>
      <c r="K6" s="18"/>
      <c r="L6" s="18"/>
      <c r="M6" s="18"/>
      <c r="N6" s="43"/>
      <c r="O6" s="55"/>
      <c r="P6" s="18"/>
      <c r="Q6" s="18"/>
      <c r="R6" s="36"/>
      <c r="S6" s="18"/>
      <c r="T6" s="18"/>
      <c r="U6" s="18"/>
      <c r="V6" s="36"/>
      <c r="W6" s="18"/>
      <c r="X6" s="18"/>
      <c r="Y6" s="18"/>
      <c r="Z6" s="36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8"/>
      <c r="G9" s="17"/>
      <c r="H9" s="17"/>
      <c r="I9" s="17"/>
      <c r="J9" s="44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4"/>
      <c r="W9" s="17"/>
      <c r="X9" s="17"/>
      <c r="Y9" s="17"/>
      <c r="Z9" s="38"/>
    </row>
    <row r="10" spans="1:26" ht="15" customHeight="1" x14ac:dyDescent="0.3">
      <c r="A10" s="11"/>
      <c r="B10" s="53"/>
      <c r="C10" s="11"/>
      <c r="D10" s="40" t="s">
        <v>281</v>
      </c>
      <c r="E10" s="31"/>
      <c r="F10" s="37" t="s">
        <v>282</v>
      </c>
      <c r="G10" s="31"/>
      <c r="H10" s="47" t="s">
        <v>283</v>
      </c>
      <c r="I10" s="31"/>
      <c r="J10" s="48" t="s">
        <v>284</v>
      </c>
      <c r="K10" s="11"/>
      <c r="L10" s="40" t="s">
        <v>285</v>
      </c>
      <c r="M10" s="11"/>
      <c r="N10" s="37" t="s">
        <v>286</v>
      </c>
      <c r="O10" s="11"/>
      <c r="P10" s="51" t="s">
        <v>281</v>
      </c>
      <c r="Q10" s="31"/>
      <c r="R10" s="37" t="s">
        <v>282</v>
      </c>
      <c r="S10" s="31"/>
      <c r="T10" s="47" t="s">
        <v>283</v>
      </c>
      <c r="U10" s="31"/>
      <c r="V10" s="48" t="s">
        <v>284</v>
      </c>
      <c r="W10" s="11"/>
      <c r="X10" s="40" t="s">
        <v>285</v>
      </c>
      <c r="Y10" s="11"/>
      <c r="Z10" s="37" t="s">
        <v>286</v>
      </c>
    </row>
    <row r="11" spans="1:26" ht="16.5" customHeight="1" x14ac:dyDescent="0.3">
      <c r="A11" s="10"/>
      <c r="B11" s="59"/>
      <c r="C11" s="10"/>
      <c r="D11" s="10"/>
      <c r="E11" s="10"/>
      <c r="F11" s="9"/>
      <c r="G11" s="10"/>
      <c r="H11" s="10"/>
      <c r="I11" s="10"/>
      <c r="J11" s="45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5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8" t="s">
        <v>289</v>
      </c>
      <c r="C18" s="28"/>
      <c r="D18" s="21" t="e">
        <f ca="1">D12-D15</f>
        <v>#NAME?</v>
      </c>
      <c r="E18" s="15"/>
      <c r="F18" s="22" t="e">
        <f ca="1">IF(D$12=0,0,D18/D$12)</f>
        <v>#NAME?</v>
      </c>
      <c r="G18" s="15"/>
      <c r="H18" s="21" t="e">
        <f ca="1">H12-H15</f>
        <v>#NAME?</v>
      </c>
      <c r="I18" s="15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7"/>
      <c r="P18" s="21" t="e">
        <f ca="1">P12-P15</f>
        <v>#NAME?</v>
      </c>
      <c r="Q18" s="15"/>
      <c r="R18" s="22" t="e">
        <f ca="1">IF(P$12=0,0,P18/P$12)</f>
        <v>#NAME?</v>
      </c>
      <c r="S18" s="15"/>
      <c r="T18" s="21" t="e">
        <f ca="1">T12-T15</f>
        <v>#NAME?</v>
      </c>
      <c r="U18" s="15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29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29" t="e">
        <f ca="1">IF(H$12=0,0,H20/H$12)</f>
        <v>#NAME?</v>
      </c>
      <c r="K20" s="5"/>
      <c r="L20" s="23" t="e">
        <f ca="1">+D20-H20</f>
        <v>#NAME?</v>
      </c>
      <c r="M20" s="5"/>
      <c r="N20" s="29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29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29" t="e">
        <f ca="1">IF(T$12=0,0,T20/T$12)</f>
        <v>#NAME?</v>
      </c>
      <c r="W20" s="5"/>
      <c r="X20" s="23" t="e">
        <f ca="1">+P20-T20</f>
        <v>#NAME?</v>
      </c>
      <c r="Y20" s="5"/>
      <c r="Z20" s="29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8" t="s">
        <v>292</v>
      </c>
      <c r="C27" s="28"/>
      <c r="D27" s="21" t="e">
        <f ca="1">+D18-D20+D24</f>
        <v>#NAME?</v>
      </c>
      <c r="E27" s="15"/>
      <c r="F27" s="22" t="e">
        <f ca="1">IF(D$12=0,0,D27/D$12)</f>
        <v>#NAME?</v>
      </c>
      <c r="G27" s="15"/>
      <c r="H27" s="21" t="e">
        <f ca="1">+H18-H20+H24</f>
        <v>#NAME?</v>
      </c>
      <c r="I27" s="15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7"/>
      <c r="P27" s="21" t="e">
        <f ca="1">+P18-P20+P24</f>
        <v>#NAME?</v>
      </c>
      <c r="Q27" s="15"/>
      <c r="R27" s="22" t="e">
        <f ca="1">IF(P$12=0,0,P27/P$12)</f>
        <v>#NAME?</v>
      </c>
      <c r="S27" s="15"/>
      <c r="T27" s="21" t="e">
        <f ca="1">+T18-T20+T24</f>
        <v>#NAME?</v>
      </c>
      <c r="U27" s="15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8" t="s">
        <v>294</v>
      </c>
      <c r="C31" s="28"/>
      <c r="D31" s="33" t="e">
        <f ca="1">+D27-D29</f>
        <v>#NAME?</v>
      </c>
      <c r="E31" s="15"/>
      <c r="F31" s="32" t="e">
        <f ca="1">IF(D$12=0,0,D31/D$12)</f>
        <v>#NAME?</v>
      </c>
      <c r="G31" s="15"/>
      <c r="H31" s="33" t="e">
        <f ca="1">+H27-H29</f>
        <v>#NAME?</v>
      </c>
      <c r="I31" s="15"/>
      <c r="J31" s="32" t="e">
        <f ca="1">IF(H$12=0,0,H31/H$12)</f>
        <v>#NAME?</v>
      </c>
      <c r="K31" s="16"/>
      <c r="L31" s="33" t="e">
        <f ca="1">D31-H31</f>
        <v>#NAME?</v>
      </c>
      <c r="M31" s="16"/>
      <c r="N31" s="32" t="e">
        <f ca="1">IF(H31=0,0,L31/H31)</f>
        <v>#NAME?</v>
      </c>
      <c r="O31" s="27"/>
      <c r="P31" s="33" t="e">
        <f ca="1">+P27-P29</f>
        <v>#NAME?</v>
      </c>
      <c r="Q31" s="15"/>
      <c r="R31" s="32" t="e">
        <f ca="1">IF(P$12=0,0,P31/P$12)</f>
        <v>#NAME?</v>
      </c>
      <c r="S31" s="15"/>
      <c r="T31" s="33" t="e">
        <f ca="1">+T27-T29</f>
        <v>#NAME?</v>
      </c>
      <c r="U31" s="15"/>
      <c r="V31" s="32" t="e">
        <f ca="1">IF(T$12=0,0,T31/T$12)</f>
        <v>#NAME?</v>
      </c>
      <c r="W31" s="16"/>
      <c r="X31" s="33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8" t="s">
        <v>297</v>
      </c>
      <c r="C36" s="28"/>
      <c r="D36" s="34" t="e">
        <f ca="1">SUM(D31:D35)</f>
        <v>#NAME?</v>
      </c>
      <c r="E36" s="15"/>
      <c r="F36" s="30" t="e">
        <f ca="1">IF(D$12=0,0,D36/D$12)</f>
        <v>#NAME?</v>
      </c>
      <c r="G36" s="15"/>
      <c r="H36" s="34" t="e">
        <f ca="1">SUM(H31:H35)</f>
        <v>#NAME?</v>
      </c>
      <c r="I36" s="15"/>
      <c r="J36" s="30" t="e">
        <f ca="1">IF(H$12=0,0,H36/H$12)</f>
        <v>#NAME?</v>
      </c>
      <c r="K36" s="16"/>
      <c r="L36" s="34" t="e">
        <f ca="1">+D36-H36</f>
        <v>#NAME?</v>
      </c>
      <c r="M36" s="16"/>
      <c r="N36" s="30" t="e">
        <f ca="1">IF(H36=0,0,L36/H36)</f>
        <v>#NAME?</v>
      </c>
      <c r="O36" s="27"/>
      <c r="P36" s="34" t="e">
        <f ca="1">SUM(P31:P35)</f>
        <v>#NAME?</v>
      </c>
      <c r="Q36" s="15"/>
      <c r="R36" s="30" t="e">
        <f ca="1">IF(P$12=0,0,P36/P$12)</f>
        <v>#NAME?</v>
      </c>
      <c r="S36" s="15"/>
      <c r="T36" s="34" t="e">
        <f ca="1">SUM(T31:T35)</f>
        <v>#NAME?</v>
      </c>
      <c r="U36" s="15"/>
      <c r="V36" s="30" t="e">
        <f ca="1">IF(T$12=0,0,T36/T$12)</f>
        <v>#NAME?</v>
      </c>
      <c r="W36" s="16"/>
      <c r="X36" s="34" t="e">
        <f ca="1">+P36-T36</f>
        <v>#NAME?</v>
      </c>
      <c r="Y36" s="16"/>
      <c r="Z36" s="30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1"/>
      <c r="K37" s="19"/>
      <c r="L37" s="19"/>
      <c r="M37" s="19"/>
      <c r="P37" s="19"/>
      <c r="Q37" s="19"/>
      <c r="R37" s="41"/>
      <c r="S37" s="19"/>
      <c r="T37" s="19"/>
      <c r="U37" s="19"/>
      <c r="V37" s="41"/>
      <c r="W37" s="19"/>
      <c r="X37" s="19"/>
    </row>
    <row r="38" spans="1:26" ht="15" customHeight="1" x14ac:dyDescent="0.3">
      <c r="A38" s="10"/>
      <c r="B38" s="57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1"/>
      <c r="K38" s="19"/>
      <c r="L38" s="19"/>
      <c r="M38" s="19"/>
      <c r="P38" s="19"/>
      <c r="Q38" s="19"/>
      <c r="R38" s="41"/>
      <c r="S38" s="19"/>
      <c r="T38" s="19"/>
      <c r="U38" s="19"/>
      <c r="V38" s="41"/>
      <c r="W38" s="19"/>
      <c r="X38" s="19"/>
    </row>
    <row r="39" spans="1:26" ht="15" customHeight="1" x14ac:dyDescent="0.3">
      <c r="A39" s="10"/>
      <c r="B39" s="56" t="e">
        <f ca="1">_xll.ONESTOP.REPORTPLAYER.OSRFUNCTIONS.OSRGET("User","UserId")</f>
        <v>#NAME?</v>
      </c>
      <c r="D39" s="19"/>
      <c r="E39" s="19"/>
      <c r="G39" s="19"/>
      <c r="H39" s="19"/>
      <c r="I39" s="19"/>
      <c r="J39" s="41"/>
      <c r="K39" s="19"/>
      <c r="L39" s="19"/>
      <c r="M39" s="19"/>
      <c r="P39" s="19"/>
      <c r="Q39" s="19"/>
      <c r="R39" s="41"/>
      <c r="S39" s="19"/>
      <c r="T39" s="19"/>
      <c r="U39" s="19"/>
      <c r="V39" s="41"/>
      <c r="W39" s="19"/>
      <c r="X39" s="19"/>
    </row>
    <row r="40" spans="1:26" ht="15" customHeight="1" x14ac:dyDescent="0.3">
      <c r="A40" s="10"/>
      <c r="B40" s="54"/>
      <c r="D40" s="19"/>
      <c r="E40" s="19"/>
      <c r="G40" s="19"/>
      <c r="H40" s="19"/>
      <c r="I40" s="19"/>
      <c r="J40" s="41"/>
      <c r="K40" s="19"/>
      <c r="L40" s="19"/>
      <c r="M40" s="19"/>
      <c r="P40" s="19"/>
      <c r="Q40" s="19"/>
      <c r="R40" s="41"/>
      <c r="S40" s="19"/>
      <c r="T40" s="19"/>
      <c r="U40" s="19"/>
      <c r="V40" s="41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1"/>
      <c r="K41" s="19"/>
      <c r="L41" s="19"/>
      <c r="M41" s="19"/>
      <c r="P41" s="19"/>
      <c r="Q41" s="19"/>
      <c r="R41" s="41"/>
      <c r="S41" s="19"/>
      <c r="T41" s="19"/>
      <c r="U41" s="19"/>
      <c r="V41" s="41"/>
      <c r="W41" s="19"/>
      <c r="X41" s="1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3428</vt:i4>
      </vt:variant>
    </vt:vector>
  </HeadingPairs>
  <TitlesOfParts>
    <vt:vector size="3521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321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'415'!OSRRefD13x_0</vt:lpstr>
      <vt:lpstr>'418'!OSRRefD13x_0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'321'!OSRRefD22_11x_0</vt:lpstr>
      <vt:lpstr>'325'!OSRRefD22_11x_0</vt:lpstr>
      <vt:lpstr>'326'!OSRRefD22_11x_0</vt:lpstr>
      <vt:lpstr>'331'!OSRRefD22_11x_0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'321'!OSRRefD22_12x_0</vt:lpstr>
      <vt:lpstr>'325'!OSRRefD22_12x_0</vt:lpstr>
      <vt:lpstr>'326'!OSRRefD22_12x_0</vt:lpstr>
      <vt:lpstr>'331'!OSRRefD22_12x_0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'333'!OSRRefD22_16x_0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'315'!OSRRefD22_18x_0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'331'!OSRRefD22_21x_0</vt:lpstr>
      <vt:lpstr>'333'!OSRRefD22_21x_0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'415'!OSRRefH13x_0</vt:lpstr>
      <vt:lpstr>'418'!OSRRefH13x_0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'321'!OSRRefH22_11x_0</vt:lpstr>
      <vt:lpstr>'325'!OSRRefH22_11x_0</vt:lpstr>
      <vt:lpstr>'326'!OSRRefH22_11x_0</vt:lpstr>
      <vt:lpstr>'331'!OSRRefH22_11x_0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'321'!OSRRefH22_12x_0</vt:lpstr>
      <vt:lpstr>'325'!OSRRefH22_12x_0</vt:lpstr>
      <vt:lpstr>'326'!OSRRefH22_12x_0</vt:lpstr>
      <vt:lpstr>'331'!OSRRefH22_12x_0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'333'!OSRRefH22_16x_0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'315'!OSRRefH22_18x_0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'331'!OSRRefH22_21x_0</vt:lpstr>
      <vt:lpstr>'333'!OSRRefH22_21x_0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'415'!OSRRefP13x_0</vt:lpstr>
      <vt:lpstr>'418'!OSRRefP13x_0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'321'!OSRRefP22_11x_0</vt:lpstr>
      <vt:lpstr>'325'!OSRRefP22_11x_0</vt:lpstr>
      <vt:lpstr>'326'!OSRRefP22_11x_0</vt:lpstr>
      <vt:lpstr>'331'!OSRRefP22_11x_0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'321'!OSRRefP22_12x_0</vt:lpstr>
      <vt:lpstr>'325'!OSRRefP22_12x_0</vt:lpstr>
      <vt:lpstr>'326'!OSRRefP22_12x_0</vt:lpstr>
      <vt:lpstr>'331'!OSRRefP22_12x_0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'333'!OSRRefP22_16x_0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'315'!OSRRefP22_18x_0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'331'!OSRRefP22_21x_0</vt:lpstr>
      <vt:lpstr>'333'!OSRRefP22_21x_0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'415'!OSRRefT13x_0</vt:lpstr>
      <vt:lpstr>'418'!OSRRefT13x_0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'321'!OSRRefT22_11x_0</vt:lpstr>
      <vt:lpstr>'325'!OSRRefT22_11x_0</vt:lpstr>
      <vt:lpstr>'326'!OSRRefT22_11x_0</vt:lpstr>
      <vt:lpstr>'331'!OSRRefT22_11x_0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'321'!OSRRefT22_12x_0</vt:lpstr>
      <vt:lpstr>'325'!OSRRefT22_12x_0</vt:lpstr>
      <vt:lpstr>'326'!OSRRefT22_12x_0</vt:lpstr>
      <vt:lpstr>'331'!OSRRefT22_12x_0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'333'!OSRRefT22_16x_0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'315'!OSRRefT22_18x_0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'331'!OSRRefT22_21x_0</vt:lpstr>
      <vt:lpstr>'333'!OSRRefT22_21x_0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2022-03-14T21:13:30Z</dcterms:created>
  <dcterms:modified xsi:type="dcterms:W3CDTF">2022-03-14T21:17:35Z</dcterms:modified>
</cp:coreProperties>
</file>